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re_000\OneDrive\Documents\AHTA\"/>
    </mc:Choice>
  </mc:AlternateContent>
  <bookViews>
    <workbookView xWindow="0" yWindow="0" windowWidth="11280" windowHeight="7050" tabRatio="547" firstSheet="8" activeTab="10"/>
  </bookViews>
  <sheets>
    <sheet name="Sheet2007" sheetId="1" r:id="rId1"/>
    <sheet name="Sheet2008" sheetId="4" r:id="rId2"/>
    <sheet name="Sheet2009" sheetId="8" r:id="rId3"/>
    <sheet name="Sheet2010" sheetId="10" r:id="rId4"/>
    <sheet name="Sheet2011" sheetId="11" r:id="rId5"/>
    <sheet name="Sheet2012" sheetId="12" r:id="rId6"/>
    <sheet name="Sheet2013" sheetId="13" r:id="rId7"/>
    <sheet name="Sheet2014" sheetId="15" r:id="rId8"/>
    <sheet name="Sheet2015" sheetId="16" r:id="rId9"/>
    <sheet name="Sheet2016" sheetId="18" r:id="rId10"/>
    <sheet name="2016-2007 " sheetId="9" r:id="rId11"/>
    <sheet name="Past " sheetId="3" r:id="rId12"/>
    <sheet name="Sheet2" sheetId="2" r:id="rId13"/>
    <sheet name="Sheet1" sheetId="14" r:id="rId14"/>
    <sheet name="Sheet3" sheetId="17" r:id="rId15"/>
  </sheets>
  <definedNames>
    <definedName name="_xlnm.Print_Area" localSheetId="10">'2016-2007 '!$A$1:$AJ$163</definedName>
    <definedName name="_xlnm.Print_Area" localSheetId="6">Sheet2013!$AI$65:$AP$70</definedName>
    <definedName name="_xlnm.Print_Area" localSheetId="7">Sheet2014!$AK$72:$AT$79</definedName>
    <definedName name="_xlnm.Print_Area" localSheetId="8">Sheet2015!$AL$71:$AU$81</definedName>
    <definedName name="_xlnm.Print_Area" localSheetId="9">Sheet2016!$AL$42:$AU$45</definedName>
  </definedNames>
  <calcPr calcId="171027"/>
</workbook>
</file>

<file path=xl/calcChain.xml><?xml version="1.0" encoding="utf-8"?>
<calcChain xmlns="http://schemas.openxmlformats.org/spreadsheetml/2006/main">
  <c r="AR45" i="18" l="1"/>
  <c r="AQ45" i="18"/>
  <c r="AP45" i="18"/>
  <c r="AO45" i="18"/>
  <c r="AN45" i="18"/>
  <c r="AM45" i="18"/>
  <c r="AL45" i="18"/>
  <c r="AR43" i="18"/>
  <c r="AU43" i="18" s="1"/>
  <c r="AQ43" i="18"/>
  <c r="AQ44" i="18" s="1"/>
  <c r="AP43" i="18"/>
  <c r="AP44" i="18" s="1"/>
  <c r="AO43" i="18"/>
  <c r="AO44" i="18" s="1"/>
  <c r="AN43" i="18"/>
  <c r="AM43" i="18"/>
  <c r="AM44" i="18" s="1"/>
  <c r="AL43" i="18"/>
  <c r="AL44" i="18" s="1"/>
  <c r="AR42" i="18"/>
  <c r="AU42" i="18" s="1"/>
  <c r="AQ42" i="18"/>
  <c r="AP42" i="18"/>
  <c r="AT42" i="18" s="1"/>
  <c r="AO42" i="18"/>
  <c r="AN42" i="18"/>
  <c r="AN44" i="18" s="1"/>
  <c r="AM42" i="18"/>
  <c r="AS42" i="18" s="1"/>
  <c r="AL42" i="18"/>
  <c r="AT43" i="18" l="1"/>
  <c r="AR44" i="18"/>
  <c r="AS43" i="18"/>
  <c r="T44" i="18"/>
  <c r="X78" i="16" l="1"/>
  <c r="X77" i="16"/>
  <c r="T38" i="18" l="1"/>
  <c r="AB37" i="18"/>
  <c r="AD78" i="16" l="1"/>
  <c r="T32" i="18" l="1"/>
  <c r="AA25" i="18" l="1"/>
  <c r="K25" i="18"/>
  <c r="AB24" i="18" l="1"/>
  <c r="AG26" i="18"/>
  <c r="AR21" i="18" l="1"/>
  <c r="AQ21" i="18"/>
  <c r="AP21" i="18"/>
  <c r="AO21" i="18"/>
  <c r="AN21" i="18"/>
  <c r="AM21" i="18"/>
  <c r="AL21" i="18"/>
  <c r="AR19" i="18"/>
  <c r="AQ19" i="18"/>
  <c r="AP19" i="18"/>
  <c r="AN19" i="18"/>
  <c r="AM19" i="18"/>
  <c r="AR18" i="18"/>
  <c r="AQ18" i="18"/>
  <c r="AP18" i="18"/>
  <c r="AO18" i="18"/>
  <c r="AN18" i="18"/>
  <c r="AM18" i="18"/>
  <c r="AL18" i="18"/>
  <c r="V19" i="18"/>
  <c r="AL19" i="18" s="1"/>
  <c r="AN20" i="18" l="1"/>
  <c r="AU18" i="18"/>
  <c r="AO19" i="18"/>
  <c r="AO20" i="18" s="1"/>
  <c r="AP20" i="18"/>
  <c r="AT18" i="18"/>
  <c r="AM20" i="18"/>
  <c r="AQ20" i="18"/>
  <c r="AS18" i="18"/>
  <c r="AU19" i="18"/>
  <c r="AL20" i="18"/>
  <c r="AT19" i="18"/>
  <c r="AR20" i="18"/>
  <c r="U12" i="18"/>
  <c r="AS19" i="18" l="1"/>
  <c r="C12" i="18"/>
  <c r="V12" i="18"/>
  <c r="N12" i="18" l="1"/>
  <c r="AR13" i="18"/>
  <c r="AR15" i="18"/>
  <c r="AQ15" i="18"/>
  <c r="AP15" i="18"/>
  <c r="AO15" i="18"/>
  <c r="AN15" i="18"/>
  <c r="AM15" i="18"/>
  <c r="AL15" i="18"/>
  <c r="AQ13" i="18"/>
  <c r="AP13" i="18"/>
  <c r="AO13" i="18"/>
  <c r="AN13" i="18"/>
  <c r="AM13" i="18"/>
  <c r="AL13" i="18"/>
  <c r="AT13" i="18" l="1"/>
  <c r="AU13" i="18"/>
  <c r="AS13" i="18"/>
  <c r="W12" i="18"/>
  <c r="AE12" i="18" l="1"/>
  <c r="G12" i="18"/>
  <c r="S12" i="18" l="1"/>
  <c r="X12" i="18"/>
  <c r="AF12" i="18"/>
  <c r="O12" i="18" l="1"/>
  <c r="AC12" i="18"/>
  <c r="AM12" i="18" s="1"/>
  <c r="Y12" i="18"/>
  <c r="AH12" i="18"/>
  <c r="AK12" i="18"/>
  <c r="B12" i="18"/>
  <c r="K12" i="18"/>
  <c r="AO12" i="18" l="1"/>
  <c r="AO14" i="18" s="1"/>
  <c r="AM14" i="18"/>
  <c r="M12" i="18"/>
  <c r="F12" i="18"/>
  <c r="AL12" i="18" s="1"/>
  <c r="AL14" i="18" s="1"/>
  <c r="T12" i="18"/>
  <c r="AB12" i="18"/>
  <c r="P12" i="18"/>
  <c r="I12" i="18"/>
  <c r="Z12" i="18"/>
  <c r="AP12" i="18" s="1"/>
  <c r="D12" i="18"/>
  <c r="AP14" i="18" l="1"/>
  <c r="AN12" i="18"/>
  <c r="AR12" i="18"/>
  <c r="AQ12" i="18"/>
  <c r="AQ14" i="18" s="1"/>
  <c r="AQ9" i="18"/>
  <c r="AO9" i="18"/>
  <c r="AR9" i="18"/>
  <c r="AP9" i="18"/>
  <c r="AN9" i="18"/>
  <c r="AM9" i="18"/>
  <c r="AL9" i="18"/>
  <c r="AR7" i="18"/>
  <c r="AQ7" i="18"/>
  <c r="AN7" i="18"/>
  <c r="AM7" i="18"/>
  <c r="AP6" i="18"/>
  <c r="AN6" i="18"/>
  <c r="AQ72" i="18"/>
  <c r="AM72" i="18"/>
  <c r="AM73" i="18"/>
  <c r="AM74" i="18" s="1"/>
  <c r="AN73" i="18"/>
  <c r="AP73" i="18"/>
  <c r="AL75" i="18"/>
  <c r="AM75" i="18"/>
  <c r="AN75" i="18"/>
  <c r="AO75" i="18"/>
  <c r="AP75" i="18"/>
  <c r="AQ75" i="18"/>
  <c r="AR75" i="18"/>
  <c r="AF8" i="18"/>
  <c r="AU12" i="18" l="1"/>
  <c r="AR14" i="18"/>
  <c r="AN8" i="18"/>
  <c r="AN14" i="18"/>
  <c r="AS12" i="18"/>
  <c r="AT12" i="18"/>
  <c r="U6" i="18"/>
  <c r="W7" i="18"/>
  <c r="AP7" i="18" l="1"/>
  <c r="AL7" i="18"/>
  <c r="AO7" i="18"/>
  <c r="AQ6" i="18"/>
  <c r="AM6" i="18"/>
  <c r="S78" i="16"/>
  <c r="AM8" i="18" l="1"/>
  <c r="AS7" i="18"/>
  <c r="AQ8" i="18"/>
  <c r="AP8" i="18"/>
  <c r="AT7" i="18"/>
  <c r="AB6" i="18"/>
  <c r="AR6" i="18" l="1"/>
  <c r="AO6" i="18"/>
  <c r="AL6" i="18"/>
  <c r="AL8" i="18" s="1"/>
  <c r="AJ83" i="18"/>
  <c r="AH83" i="18"/>
  <c r="AG83" i="18"/>
  <c r="AD83" i="18"/>
  <c r="AC83" i="18"/>
  <c r="R83" i="18"/>
  <c r="K83" i="18"/>
  <c r="I83" i="18"/>
  <c r="AK78" i="18"/>
  <c r="AJ78" i="18"/>
  <c r="AI78" i="18"/>
  <c r="AG78" i="18"/>
  <c r="AE78" i="18"/>
  <c r="AD78" i="18"/>
  <c r="AC78" i="18"/>
  <c r="X78" i="18"/>
  <c r="R78" i="18"/>
  <c r="I78" i="18"/>
  <c r="H78" i="18"/>
  <c r="G78" i="18"/>
  <c r="F78" i="18"/>
  <c r="C78" i="18"/>
  <c r="AJ77" i="18"/>
  <c r="AI77" i="18"/>
  <c r="AG77" i="18"/>
  <c r="R77" i="18"/>
  <c r="AK74" i="18"/>
  <c r="AJ74" i="18"/>
  <c r="AI74" i="18"/>
  <c r="AH74" i="18"/>
  <c r="AG74" i="18"/>
  <c r="AF74" i="18"/>
  <c r="AE74" i="18"/>
  <c r="AD74" i="18"/>
  <c r="AC74" i="18"/>
  <c r="Y74" i="18"/>
  <c r="X74" i="18"/>
  <c r="U74" i="18"/>
  <c r="T74" i="18"/>
  <c r="S74" i="18"/>
  <c r="R74" i="18"/>
  <c r="Q74" i="18"/>
  <c r="P74" i="18"/>
  <c r="O74" i="18"/>
  <c r="N74" i="18"/>
  <c r="M74" i="18"/>
  <c r="K74" i="18"/>
  <c r="I74" i="18"/>
  <c r="H74" i="18"/>
  <c r="G74" i="18"/>
  <c r="F74" i="18"/>
  <c r="D74" i="18"/>
  <c r="C74" i="18"/>
  <c r="B74" i="18"/>
  <c r="AQ73" i="18"/>
  <c r="AN72" i="18"/>
  <c r="AN74" i="18" s="1"/>
  <c r="AR69" i="18"/>
  <c r="AQ69" i="18"/>
  <c r="AP69" i="18"/>
  <c r="AO69" i="18"/>
  <c r="AN69" i="18"/>
  <c r="AM69" i="18"/>
  <c r="AL69" i="18"/>
  <c r="AK68" i="18"/>
  <c r="AJ68" i="18"/>
  <c r="AI68" i="18"/>
  <c r="AH68" i="18"/>
  <c r="AG68" i="18"/>
  <c r="AE68" i="18"/>
  <c r="AD68" i="18"/>
  <c r="AC68" i="18"/>
  <c r="AA68" i="18"/>
  <c r="Y68" i="18"/>
  <c r="X68" i="18"/>
  <c r="W68" i="18"/>
  <c r="V68" i="18"/>
  <c r="U68" i="18"/>
  <c r="S68" i="18"/>
  <c r="R68" i="18"/>
  <c r="Q68" i="18"/>
  <c r="O68" i="18"/>
  <c r="M68" i="18"/>
  <c r="K68" i="18"/>
  <c r="I68" i="18"/>
  <c r="H68" i="18"/>
  <c r="G68" i="18"/>
  <c r="F68" i="18"/>
  <c r="C68" i="18"/>
  <c r="B68" i="18"/>
  <c r="AM67" i="18"/>
  <c r="P78" i="18"/>
  <c r="N68" i="18"/>
  <c r="AN67" i="18"/>
  <c r="AQ66" i="18"/>
  <c r="AP66" i="18"/>
  <c r="AN66" i="18"/>
  <c r="AM66" i="18"/>
  <c r="AL66" i="18"/>
  <c r="AO66" i="18"/>
  <c r="AR63" i="18"/>
  <c r="AQ63" i="18"/>
  <c r="AP63" i="18"/>
  <c r="AO63" i="18"/>
  <c r="AN63" i="18"/>
  <c r="AM63" i="18"/>
  <c r="AL63" i="18"/>
  <c r="AJ62" i="18"/>
  <c r="AI62" i="18"/>
  <c r="AH62" i="18"/>
  <c r="AG62" i="18"/>
  <c r="AE62" i="18"/>
  <c r="AD62" i="18"/>
  <c r="AC62" i="18"/>
  <c r="X62" i="18"/>
  <c r="W62" i="18"/>
  <c r="V62" i="18"/>
  <c r="U62" i="18"/>
  <c r="S62" i="18"/>
  <c r="R62" i="18"/>
  <c r="P62" i="18"/>
  <c r="O62" i="18"/>
  <c r="N62" i="18"/>
  <c r="M62" i="18"/>
  <c r="K62" i="18"/>
  <c r="H62" i="18"/>
  <c r="G62" i="18"/>
  <c r="F62" i="18"/>
  <c r="D62" i="18"/>
  <c r="AR61" i="18"/>
  <c r="AQ61" i="18"/>
  <c r="AO61" i="18"/>
  <c r="AM61" i="18"/>
  <c r="AR60" i="18"/>
  <c r="AM60" i="18"/>
  <c r="AB62" i="18"/>
  <c r="Y62" i="18"/>
  <c r="I62" i="18"/>
  <c r="C62" i="18"/>
  <c r="AR57" i="18"/>
  <c r="AQ57" i="18"/>
  <c r="AP57" i="18"/>
  <c r="AO57" i="18"/>
  <c r="AN57" i="18"/>
  <c r="AM57" i="18"/>
  <c r="AL57" i="18"/>
  <c r="AJ56" i="18"/>
  <c r="AI56" i="18"/>
  <c r="AH56" i="18"/>
  <c r="AG56" i="18"/>
  <c r="AE56" i="18"/>
  <c r="AD56" i="18"/>
  <c r="AC56" i="18"/>
  <c r="AA56" i="18"/>
  <c r="X56" i="18"/>
  <c r="V56" i="18"/>
  <c r="U56" i="18"/>
  <c r="S56" i="18"/>
  <c r="R56" i="18"/>
  <c r="P56" i="18"/>
  <c r="H56" i="18"/>
  <c r="G56" i="18"/>
  <c r="F56" i="18"/>
  <c r="D56" i="18"/>
  <c r="C56" i="18"/>
  <c r="AN55" i="18"/>
  <c r="AM55" i="18"/>
  <c r="AB56" i="18"/>
  <c r="AP55" i="18"/>
  <c r="AR54" i="18"/>
  <c r="AP54" i="18"/>
  <c r="AN54" i="18"/>
  <c r="AN56" i="18" s="1"/>
  <c r="AM54" i="18"/>
  <c r="AL54" i="18"/>
  <c r="AO54" i="18"/>
  <c r="AR51" i="18"/>
  <c r="AQ51" i="18"/>
  <c r="AP51" i="18"/>
  <c r="AO51" i="18"/>
  <c r="AN51" i="18"/>
  <c r="AM51" i="18"/>
  <c r="AL51" i="18"/>
  <c r="AK50" i="18"/>
  <c r="AJ50" i="18"/>
  <c r="AI50" i="18"/>
  <c r="AH50" i="18"/>
  <c r="AG50" i="18"/>
  <c r="AF50" i="18"/>
  <c r="AE50" i="18"/>
  <c r="AD50" i="18"/>
  <c r="AC50" i="18"/>
  <c r="AB50" i="18"/>
  <c r="AA50" i="18"/>
  <c r="Y50" i="18"/>
  <c r="X50" i="18"/>
  <c r="V50" i="18"/>
  <c r="U50" i="18"/>
  <c r="S50" i="18"/>
  <c r="R50" i="18"/>
  <c r="P50" i="18"/>
  <c r="O50" i="18"/>
  <c r="M50" i="18"/>
  <c r="K50" i="18"/>
  <c r="H50" i="18"/>
  <c r="G50" i="18"/>
  <c r="F50" i="18"/>
  <c r="D50" i="18"/>
  <c r="C50" i="18"/>
  <c r="AR49" i="18"/>
  <c r="AQ49" i="18"/>
  <c r="AN49" i="18"/>
  <c r="AM49" i="18"/>
  <c r="AR48" i="18"/>
  <c r="AQ48" i="18"/>
  <c r="AM48" i="18"/>
  <c r="Z50" i="18"/>
  <c r="AL48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S44" i="18"/>
  <c r="R44" i="18"/>
  <c r="P44" i="18"/>
  <c r="O44" i="18"/>
  <c r="N44" i="18"/>
  <c r="M44" i="18"/>
  <c r="K44" i="18"/>
  <c r="I44" i="18"/>
  <c r="H44" i="18"/>
  <c r="G44" i="18"/>
  <c r="F44" i="18"/>
  <c r="D44" i="18"/>
  <c r="B44" i="18"/>
  <c r="AR39" i="18"/>
  <c r="AQ39" i="18"/>
  <c r="AP39" i="18"/>
  <c r="AO39" i="18"/>
  <c r="AN39" i="18"/>
  <c r="AM39" i="18"/>
  <c r="AL39" i="18"/>
  <c r="AK38" i="18"/>
  <c r="AJ38" i="18"/>
  <c r="AI38" i="18"/>
  <c r="AH38" i="18"/>
  <c r="AG38" i="18"/>
  <c r="AF38" i="18"/>
  <c r="AE38" i="18"/>
  <c r="AD38" i="18"/>
  <c r="AC38" i="18"/>
  <c r="Y38" i="18"/>
  <c r="X38" i="18"/>
  <c r="W38" i="18"/>
  <c r="V38" i="18"/>
  <c r="R38" i="18"/>
  <c r="P38" i="18"/>
  <c r="N38" i="18"/>
  <c r="M38" i="18"/>
  <c r="K38" i="18"/>
  <c r="I38" i="18"/>
  <c r="H38" i="18"/>
  <c r="G38" i="18"/>
  <c r="F38" i="18"/>
  <c r="D38" i="18"/>
  <c r="C38" i="18"/>
  <c r="B38" i="18"/>
  <c r="AR37" i="18"/>
  <c r="AB38" i="18"/>
  <c r="AA38" i="18"/>
  <c r="Z83" i="18"/>
  <c r="AR36" i="18"/>
  <c r="AP36" i="18"/>
  <c r="AO36" i="18"/>
  <c r="AN36" i="18"/>
  <c r="AR33" i="18"/>
  <c r="AQ33" i="18"/>
  <c r="AP33" i="18"/>
  <c r="AO33" i="18"/>
  <c r="AN33" i="18"/>
  <c r="AM33" i="18"/>
  <c r="AL33" i="18"/>
  <c r="AK32" i="18"/>
  <c r="AJ32" i="18"/>
  <c r="AI32" i="18"/>
  <c r="AH32" i="18"/>
  <c r="AG32" i="18"/>
  <c r="AF32" i="18"/>
  <c r="AE32" i="18"/>
  <c r="AD32" i="18"/>
  <c r="AC32" i="18"/>
  <c r="AA32" i="18"/>
  <c r="Z32" i="18"/>
  <c r="Y32" i="18"/>
  <c r="X32" i="18"/>
  <c r="W32" i="18"/>
  <c r="V32" i="18"/>
  <c r="U32" i="18"/>
  <c r="S32" i="18"/>
  <c r="R32" i="18"/>
  <c r="P32" i="18"/>
  <c r="O32" i="18"/>
  <c r="N32" i="18"/>
  <c r="M32" i="18"/>
  <c r="K32" i="18"/>
  <c r="I32" i="18"/>
  <c r="H32" i="18"/>
  <c r="G32" i="18"/>
  <c r="F32" i="18"/>
  <c r="D32" i="18"/>
  <c r="C32" i="18"/>
  <c r="B32" i="18"/>
  <c r="AQ31" i="18"/>
  <c r="AP31" i="18"/>
  <c r="AN31" i="18"/>
  <c r="AM31" i="18"/>
  <c r="AL31" i="18"/>
  <c r="AO31" i="18"/>
  <c r="AR30" i="18"/>
  <c r="AQ30" i="18"/>
  <c r="AP30" i="18"/>
  <c r="AO30" i="18"/>
  <c r="AN30" i="18"/>
  <c r="AM30" i="18"/>
  <c r="AL30" i="18"/>
  <c r="AR27" i="18"/>
  <c r="AQ27" i="18"/>
  <c r="AP27" i="18"/>
  <c r="AO27" i="18"/>
  <c r="AN27" i="18"/>
  <c r="AM27" i="18"/>
  <c r="AL27" i="18"/>
  <c r="AJ26" i="18"/>
  <c r="AI26" i="18"/>
  <c r="AF26" i="18"/>
  <c r="AE26" i="18"/>
  <c r="AD26" i="18"/>
  <c r="R26" i="18"/>
  <c r="Q26" i="18"/>
  <c r="P26" i="18"/>
  <c r="O26" i="18"/>
  <c r="K26" i="18"/>
  <c r="H26" i="18"/>
  <c r="AR25" i="18"/>
  <c r="AN25" i="18"/>
  <c r="AA26" i="18"/>
  <c r="AK24" i="18"/>
  <c r="AK26" i="18" s="1"/>
  <c r="AH24" i="18"/>
  <c r="AH26" i="18" s="1"/>
  <c r="AC24" i="18"/>
  <c r="AC26" i="18" s="1"/>
  <c r="Z24" i="18"/>
  <c r="Z26" i="18" s="1"/>
  <c r="Y24" i="18"/>
  <c r="Y26" i="18" s="1"/>
  <c r="X24" i="18"/>
  <c r="X26" i="18" s="1"/>
  <c r="W24" i="18"/>
  <c r="V24" i="18"/>
  <c r="V26" i="18" s="1"/>
  <c r="U24" i="18"/>
  <c r="T24" i="18"/>
  <c r="T26" i="18" s="1"/>
  <c r="S24" i="18"/>
  <c r="S77" i="18" s="1"/>
  <c r="N24" i="18"/>
  <c r="N26" i="18" s="1"/>
  <c r="I24" i="18"/>
  <c r="I26" i="18" s="1"/>
  <c r="G24" i="18"/>
  <c r="G26" i="18" s="1"/>
  <c r="F24" i="18"/>
  <c r="F26" i="18" s="1"/>
  <c r="D24" i="18"/>
  <c r="D26" i="18" s="1"/>
  <c r="C24" i="18"/>
  <c r="C26" i="18" s="1"/>
  <c r="B24" i="18"/>
  <c r="AK20" i="18"/>
  <c r="AJ20" i="18"/>
  <c r="AI20" i="18"/>
  <c r="AH20" i="18"/>
  <c r="AG20" i="18"/>
  <c r="AE20" i="18"/>
  <c r="AD20" i="18"/>
  <c r="AC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K20" i="18"/>
  <c r="I20" i="18"/>
  <c r="G20" i="18"/>
  <c r="F20" i="18"/>
  <c r="D20" i="18"/>
  <c r="B20" i="18"/>
  <c r="AB20" i="18"/>
  <c r="H20" i="18"/>
  <c r="C20" i="18"/>
  <c r="AJ14" i="18"/>
  <c r="AI14" i="18"/>
  <c r="AH14" i="18"/>
  <c r="AG14" i="18"/>
  <c r="AF14" i="18"/>
  <c r="AD14" i="18"/>
  <c r="V14" i="18"/>
  <c r="U14" i="18"/>
  <c r="R14" i="18"/>
  <c r="Q14" i="18"/>
  <c r="N14" i="18"/>
  <c r="M14" i="18"/>
  <c r="I14" i="18"/>
  <c r="H14" i="18"/>
  <c r="D14" i="18"/>
  <c r="C14" i="18"/>
  <c r="AK14" i="18"/>
  <c r="AE77" i="18"/>
  <c r="AD77" i="18"/>
  <c r="AA14" i="18"/>
  <c r="Z14" i="18"/>
  <c r="X14" i="18"/>
  <c r="W14" i="18"/>
  <c r="T77" i="18"/>
  <c r="S14" i="18"/>
  <c r="K14" i="18"/>
  <c r="B14" i="18"/>
  <c r="AK8" i="18"/>
  <c r="AJ8" i="18"/>
  <c r="AI8" i="18"/>
  <c r="AH8" i="18"/>
  <c r="AG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K8" i="18"/>
  <c r="I8" i="18"/>
  <c r="H8" i="18"/>
  <c r="G8" i="18"/>
  <c r="F8" i="18"/>
  <c r="D8" i="18"/>
  <c r="U77" i="18" l="1"/>
  <c r="U25" i="18"/>
  <c r="S26" i="18"/>
  <c r="AM68" i="18"/>
  <c r="AN68" i="18"/>
  <c r="AM32" i="18"/>
  <c r="AS30" i="18"/>
  <c r="AN32" i="18"/>
  <c r="AT30" i="18"/>
  <c r="AQ32" i="18"/>
  <c r="AR73" i="18"/>
  <c r="AL73" i="18"/>
  <c r="AO73" i="18"/>
  <c r="AO32" i="18"/>
  <c r="AQ50" i="18"/>
  <c r="AM56" i="18"/>
  <c r="K56" i="18"/>
  <c r="Z77" i="18"/>
  <c r="AN61" i="18"/>
  <c r="AS61" i="18" s="1"/>
  <c r="AO72" i="18"/>
  <c r="AS72" i="18" s="1"/>
  <c r="AP72" i="18"/>
  <c r="AL72" i="18"/>
  <c r="AQ74" i="18"/>
  <c r="AT73" i="18"/>
  <c r="H77" i="18"/>
  <c r="H79" i="18" s="1"/>
  <c r="AB32" i="18"/>
  <c r="C44" i="18"/>
  <c r="AQ54" i="18"/>
  <c r="AT54" i="18" s="1"/>
  <c r="Z74" i="18"/>
  <c r="C77" i="18"/>
  <c r="C79" i="18" s="1"/>
  <c r="Z38" i="18"/>
  <c r="AM50" i="18"/>
  <c r="AO55" i="18"/>
  <c r="AO56" i="18" s="1"/>
  <c r="AP60" i="18"/>
  <c r="AB74" i="18"/>
  <c r="AR72" i="18"/>
  <c r="V74" i="18"/>
  <c r="AS6" i="18"/>
  <c r="AO8" i="18"/>
  <c r="AR8" i="18"/>
  <c r="AT6" i="18"/>
  <c r="AJ79" i="18"/>
  <c r="AD79" i="18"/>
  <c r="AI79" i="18"/>
  <c r="P77" i="18"/>
  <c r="P79" i="18" s="1"/>
  <c r="P14" i="18"/>
  <c r="AN48" i="18"/>
  <c r="AN50" i="18" s="1"/>
  <c r="W74" i="18"/>
  <c r="AA74" i="18"/>
  <c r="AE14" i="18"/>
  <c r="AL25" i="18"/>
  <c r="M26" i="18"/>
  <c r="AO25" i="18"/>
  <c r="AQ25" i="18"/>
  <c r="I50" i="18"/>
  <c r="C8" i="18"/>
  <c r="I77" i="18"/>
  <c r="I79" i="18" s="1"/>
  <c r="Y14" i="18"/>
  <c r="AQ24" i="18"/>
  <c r="B26" i="18"/>
  <c r="AO24" i="18"/>
  <c r="AL24" i="18"/>
  <c r="B8" i="18"/>
  <c r="F77" i="18"/>
  <c r="F79" i="18" s="1"/>
  <c r="F14" i="18"/>
  <c r="AB14" i="18"/>
  <c r="AP25" i="18"/>
  <c r="W26" i="18"/>
  <c r="O77" i="18"/>
  <c r="O14" i="18"/>
  <c r="AP24" i="18"/>
  <c r="W50" i="18"/>
  <c r="AP49" i="18"/>
  <c r="AL49" i="18"/>
  <c r="AL50" i="18" s="1"/>
  <c r="AO49" i="18"/>
  <c r="AK77" i="18"/>
  <c r="AK79" i="18" s="1"/>
  <c r="AP32" i="18"/>
  <c r="U38" i="18"/>
  <c r="AQ36" i="18"/>
  <c r="AM36" i="18"/>
  <c r="AL36" i="18"/>
  <c r="AR38" i="18"/>
  <c r="AP48" i="18"/>
  <c r="AT48" i="18" s="1"/>
  <c r="AO48" i="18"/>
  <c r="AP56" i="18"/>
  <c r="Z62" i="18"/>
  <c r="AU7" i="18"/>
  <c r="G77" i="18"/>
  <c r="G79" i="18" s="1"/>
  <c r="AR24" i="18"/>
  <c r="AB26" i="18"/>
  <c r="AU30" i="18"/>
  <c r="AL32" i="18"/>
  <c r="AQ55" i="18"/>
  <c r="AR55" i="18"/>
  <c r="AL60" i="18"/>
  <c r="AO60" i="18"/>
  <c r="AO62" i="18" s="1"/>
  <c r="AN60" i="18"/>
  <c r="AL61" i="18"/>
  <c r="AS66" i="18"/>
  <c r="Z68" i="18"/>
  <c r="AP67" i="18"/>
  <c r="X77" i="18"/>
  <c r="X79" i="18" s="1"/>
  <c r="R79" i="18"/>
  <c r="AE79" i="18"/>
  <c r="AR50" i="18"/>
  <c r="AU49" i="18"/>
  <c r="AP61" i="18"/>
  <c r="AC77" i="18"/>
  <c r="AC79" i="18" s="1"/>
  <c r="AC14" i="18"/>
  <c r="G14" i="18"/>
  <c r="AS31" i="18"/>
  <c r="AS54" i="18"/>
  <c r="AQ60" i="18"/>
  <c r="AM62" i="18"/>
  <c r="AR62" i="18"/>
  <c r="AQ67" i="18"/>
  <c r="AQ68" i="18" s="1"/>
  <c r="D68" i="18"/>
  <c r="Z78" i="18"/>
  <c r="AG79" i="18"/>
  <c r="AM24" i="18"/>
  <c r="U26" i="18"/>
  <c r="AR31" i="18"/>
  <c r="AO37" i="18"/>
  <c r="AO38" i="18" s="1"/>
  <c r="AL55" i="18"/>
  <c r="AL56" i="18" s="1"/>
  <c r="AT55" i="18"/>
  <c r="M56" i="18"/>
  <c r="AR66" i="18"/>
  <c r="AT66" i="18" s="1"/>
  <c r="P68" i="18"/>
  <c r="AN24" i="18"/>
  <c r="AN26" i="18" s="1"/>
  <c r="AR75" i="16"/>
  <c r="AQ75" i="16"/>
  <c r="AP75" i="16"/>
  <c r="AO75" i="16"/>
  <c r="AN75" i="16"/>
  <c r="AM75" i="16"/>
  <c r="AL75" i="16"/>
  <c r="AP73" i="16"/>
  <c r="AN73" i="16"/>
  <c r="AM73" i="16"/>
  <c r="AQ72" i="16"/>
  <c r="AM72" i="16"/>
  <c r="V73" i="16"/>
  <c r="AS25" i="18" l="1"/>
  <c r="AM25" i="18"/>
  <c r="U78" i="18"/>
  <c r="U79" i="18" s="1"/>
  <c r="AL74" i="18"/>
  <c r="AS55" i="18"/>
  <c r="AT60" i="18"/>
  <c r="AN62" i="18"/>
  <c r="AQ56" i="18"/>
  <c r="AS48" i="18"/>
  <c r="AU24" i="18"/>
  <c r="Z79" i="18"/>
  <c r="AR67" i="18"/>
  <c r="AR68" i="18" s="1"/>
  <c r="AB68" i="18"/>
  <c r="AR73" i="16"/>
  <c r="AS60" i="18"/>
  <c r="AU36" i="18"/>
  <c r="AO67" i="18"/>
  <c r="AO68" i="18" s="1"/>
  <c r="AQ62" i="18"/>
  <c r="AU54" i="18"/>
  <c r="AR74" i="18"/>
  <c r="AN76" i="18"/>
  <c r="AQ76" i="18"/>
  <c r="AP76" i="18"/>
  <c r="AL67" i="18"/>
  <c r="AL68" i="18" s="1"/>
  <c r="AP74" i="18"/>
  <c r="AT72" i="18"/>
  <c r="AS73" i="18"/>
  <c r="AO74" i="18"/>
  <c r="AL83" i="18"/>
  <c r="AO76" i="18"/>
  <c r="AP68" i="18"/>
  <c r="AU55" i="18"/>
  <c r="AR56" i="18"/>
  <c r="AS36" i="18"/>
  <c r="AU48" i="18"/>
  <c r="AM26" i="18"/>
  <c r="AS24" i="18"/>
  <c r="AT24" i="18"/>
  <c r="AM76" i="18"/>
  <c r="AP26" i="18"/>
  <c r="AT25" i="18"/>
  <c r="AT36" i="18"/>
  <c r="AQ26" i="18"/>
  <c r="AR32" i="18"/>
  <c r="AU31" i="18"/>
  <c r="AR76" i="18"/>
  <c r="AU6" i="18"/>
  <c r="AL62" i="18"/>
  <c r="AO50" i="18"/>
  <c r="AR26" i="18"/>
  <c r="AL76" i="18"/>
  <c r="AL26" i="18"/>
  <c r="AT31" i="18"/>
  <c r="AR77" i="18"/>
  <c r="AT61" i="18"/>
  <c r="AP62" i="18"/>
  <c r="AS49" i="18"/>
  <c r="AT49" i="18"/>
  <c r="AP50" i="18"/>
  <c r="AU25" i="18"/>
  <c r="AO26" i="18"/>
  <c r="AM74" i="16"/>
  <c r="AF74" i="16"/>
  <c r="AS67" i="18" l="1"/>
  <c r="AT67" i="18"/>
  <c r="AL84" i="18"/>
  <c r="AR78" i="18"/>
  <c r="AB72" i="16"/>
  <c r="AR72" i="16" s="1"/>
  <c r="AR74" i="16" s="1"/>
  <c r="AA73" i="16"/>
  <c r="AQ73" i="16" l="1"/>
  <c r="AL73" i="16"/>
  <c r="AO73" i="16"/>
  <c r="AA74" i="16"/>
  <c r="W72" i="16"/>
  <c r="AO72" i="16" l="1"/>
  <c r="AO74" i="16" s="1"/>
  <c r="AS73" i="16"/>
  <c r="AQ74" i="16"/>
  <c r="AT73" i="16"/>
  <c r="Z72" i="16"/>
  <c r="AN72" i="16" s="1"/>
  <c r="AN74" i="16" l="1"/>
  <c r="AS72" i="16"/>
  <c r="AL72" i="16"/>
  <c r="AL74" i="16" s="1"/>
  <c r="AP72" i="16"/>
  <c r="C78" i="16"/>
  <c r="AT72" i="16" l="1"/>
  <c r="AP74" i="16"/>
  <c r="AI78" i="16"/>
  <c r="AI79" i="16" s="1"/>
  <c r="AI77" i="16"/>
  <c r="G78" i="16"/>
  <c r="Z67" i="16" l="1"/>
  <c r="AB66" i="16" l="1"/>
  <c r="AB67" i="16" s="1"/>
  <c r="P67" i="16"/>
  <c r="P78" i="16" s="1"/>
  <c r="D67" i="16" l="1"/>
  <c r="N67" i="16"/>
  <c r="AR63" i="16" l="1"/>
  <c r="AQ63" i="16"/>
  <c r="AP63" i="16"/>
  <c r="AO63" i="16"/>
  <c r="AN63" i="16"/>
  <c r="AM63" i="16"/>
  <c r="AL63" i="16"/>
  <c r="AR61" i="16"/>
  <c r="AQ61" i="16"/>
  <c r="AO61" i="16"/>
  <c r="AM61" i="16"/>
  <c r="AM60" i="16"/>
  <c r="N62" i="16"/>
  <c r="AM62" i="16" l="1"/>
  <c r="I60" i="16"/>
  <c r="C60" i="16"/>
  <c r="B60" i="16" l="1"/>
  <c r="AH83" i="16" l="1"/>
  <c r="K83" i="16"/>
  <c r="I83" i="16"/>
  <c r="O83" i="16"/>
  <c r="AC83" i="16"/>
  <c r="AJ83" i="16"/>
  <c r="AG83" i="16"/>
  <c r="AD83" i="16"/>
  <c r="R83" i="16"/>
  <c r="Y60" i="16"/>
  <c r="AQ60" i="16" s="1"/>
  <c r="AQ62" i="16" s="1"/>
  <c r="AB60" i="16" l="1"/>
  <c r="AR60" i="16" s="1"/>
  <c r="AR62" i="16" s="1"/>
  <c r="W60" i="16"/>
  <c r="Z60" i="16"/>
  <c r="AN60" i="16" s="1"/>
  <c r="Z61" i="16" l="1"/>
  <c r="AP60" i="16"/>
  <c r="AL60" i="16"/>
  <c r="AO60" i="16"/>
  <c r="AO62" i="16" s="1"/>
  <c r="C82" i="15"/>
  <c r="D82" i="15"/>
  <c r="E82" i="15"/>
  <c r="G82" i="15"/>
  <c r="H82" i="15"/>
  <c r="I82" i="15"/>
  <c r="J82" i="15"/>
  <c r="K82" i="15"/>
  <c r="L82" i="15"/>
  <c r="M82" i="15"/>
  <c r="Q82" i="15"/>
  <c r="R82" i="15"/>
  <c r="T82" i="15"/>
  <c r="Z82" i="15"/>
  <c r="AC82" i="15"/>
  <c r="AE82" i="15"/>
  <c r="AF82" i="15"/>
  <c r="AG82" i="15"/>
  <c r="AH82" i="15"/>
  <c r="AI82" i="15"/>
  <c r="AP61" i="16" l="1"/>
  <c r="AP62" i="16" s="1"/>
  <c r="AL61" i="16"/>
  <c r="AL62" i="16" s="1"/>
  <c r="AN61" i="16"/>
  <c r="AS60" i="16"/>
  <c r="AP57" i="16"/>
  <c r="AR57" i="16"/>
  <c r="AS61" i="16" l="1"/>
  <c r="AN62" i="16"/>
  <c r="AQ57" i="16"/>
  <c r="AO57" i="16"/>
  <c r="AN57" i="16"/>
  <c r="AM57" i="16"/>
  <c r="AL57" i="16"/>
  <c r="AN55" i="16"/>
  <c r="AM55" i="16"/>
  <c r="AR54" i="16"/>
  <c r="AP54" i="16"/>
  <c r="AN54" i="16"/>
  <c r="AM54" i="16"/>
  <c r="AN56" i="16" l="1"/>
  <c r="AM56" i="16"/>
  <c r="AA55" i="16"/>
  <c r="AA56" i="16" s="1"/>
  <c r="W55" i="16" l="1"/>
  <c r="AP55" i="16" s="1"/>
  <c r="AP56" i="16" l="1"/>
  <c r="M55" i="16"/>
  <c r="AQ55" i="16" l="1"/>
  <c r="AB55" i="16"/>
  <c r="AR55" i="16" s="1"/>
  <c r="K54" i="16"/>
  <c r="D56" i="16"/>
  <c r="AR51" i="16"/>
  <c r="AQ51" i="16"/>
  <c r="AP51" i="16"/>
  <c r="AO51" i="16"/>
  <c r="AN51" i="16"/>
  <c r="AM51" i="16"/>
  <c r="AL51" i="16"/>
  <c r="AR49" i="16"/>
  <c r="AQ49" i="16"/>
  <c r="AN49" i="16"/>
  <c r="AM49" i="16"/>
  <c r="AR48" i="16"/>
  <c r="AQ48" i="16"/>
  <c r="AM48" i="16"/>
  <c r="I48" i="16"/>
  <c r="W48" i="16"/>
  <c r="Z48" i="16"/>
  <c r="AP48" i="16" l="1"/>
  <c r="W49" i="16"/>
  <c r="AO49" i="16" s="1"/>
  <c r="AL55" i="16"/>
  <c r="AU55" i="16"/>
  <c r="AR56" i="16"/>
  <c r="AO55" i="16"/>
  <c r="AS55" i="16" s="1"/>
  <c r="AN48" i="16"/>
  <c r="AL54" i="16"/>
  <c r="AO54" i="16"/>
  <c r="AQ54" i="16"/>
  <c r="AQ56" i="16" s="1"/>
  <c r="AT55" i="16"/>
  <c r="AT48" i="16"/>
  <c r="AO48" i="16"/>
  <c r="AO50" i="16" s="1"/>
  <c r="AL49" i="16"/>
  <c r="AP49" i="16"/>
  <c r="AP50" i="16" s="1"/>
  <c r="AL48" i="16"/>
  <c r="AM50" i="16"/>
  <c r="AQ50" i="16"/>
  <c r="AN50" i="16"/>
  <c r="AR50" i="16"/>
  <c r="AU48" i="16"/>
  <c r="AS49" i="16"/>
  <c r="AU49" i="16"/>
  <c r="AF50" i="16"/>
  <c r="U50" i="16"/>
  <c r="AR43" i="16"/>
  <c r="AQ43" i="16"/>
  <c r="AP43" i="16"/>
  <c r="AO43" i="16"/>
  <c r="AN43" i="16"/>
  <c r="AM43" i="16"/>
  <c r="AL43" i="16"/>
  <c r="AQ42" i="16"/>
  <c r="AP42" i="16"/>
  <c r="AN42" i="16"/>
  <c r="AM42" i="16"/>
  <c r="AR45" i="16"/>
  <c r="AQ45" i="16"/>
  <c r="AP45" i="16"/>
  <c r="AO45" i="16"/>
  <c r="AN45" i="16"/>
  <c r="AM45" i="16"/>
  <c r="AL45" i="16"/>
  <c r="C42" i="16"/>
  <c r="AL42" i="16" s="1"/>
  <c r="AN44" i="16" l="1"/>
  <c r="AR42" i="16"/>
  <c r="AU54" i="16"/>
  <c r="AT54" i="16"/>
  <c r="AL56" i="16"/>
  <c r="AT49" i="16"/>
  <c r="AO56" i="16"/>
  <c r="AS54" i="16"/>
  <c r="AO42" i="16"/>
  <c r="AS42" i="16" s="1"/>
  <c r="AP44" i="16"/>
  <c r="AS48" i="16"/>
  <c r="AU42" i="16"/>
  <c r="AT42" i="16"/>
  <c r="AM44" i="16"/>
  <c r="AQ44" i="16"/>
  <c r="AL50" i="16"/>
  <c r="AL44" i="16"/>
  <c r="AU43" i="16"/>
  <c r="AT43" i="16"/>
  <c r="AR44" i="16"/>
  <c r="AS43" i="16"/>
  <c r="G44" i="16"/>
  <c r="AF44" i="16"/>
  <c r="B44" i="16"/>
  <c r="AJ44" i="16"/>
  <c r="U44" i="16"/>
  <c r="AO44" i="16" l="1"/>
  <c r="AA37" i="16"/>
  <c r="AF38" i="16" l="1"/>
  <c r="AB37" i="16"/>
  <c r="U36" i="16"/>
  <c r="Z37" i="16"/>
  <c r="Z83" i="16" s="1"/>
  <c r="AR39" i="16" l="1"/>
  <c r="AQ39" i="16"/>
  <c r="AP39" i="16"/>
  <c r="AO39" i="16"/>
  <c r="AN39" i="16"/>
  <c r="AM39" i="16"/>
  <c r="AL39" i="16"/>
  <c r="AR37" i="16"/>
  <c r="AQ37" i="16"/>
  <c r="AP37" i="16"/>
  <c r="AO37" i="16"/>
  <c r="AN37" i="16"/>
  <c r="AM37" i="16"/>
  <c r="AL37" i="16"/>
  <c r="AR36" i="16"/>
  <c r="AQ36" i="16"/>
  <c r="AP36" i="16"/>
  <c r="AO36" i="16"/>
  <c r="AN36" i="16"/>
  <c r="AM36" i="16"/>
  <c r="AL36" i="16"/>
  <c r="AR33" i="16"/>
  <c r="AQ33" i="16"/>
  <c r="AP33" i="16"/>
  <c r="AO33" i="16"/>
  <c r="AN33" i="16"/>
  <c r="AM33" i="16"/>
  <c r="AL33" i="16"/>
  <c r="AQ31" i="16"/>
  <c r="AP31" i="16"/>
  <c r="AN31" i="16"/>
  <c r="AM31" i="16"/>
  <c r="AR30" i="16"/>
  <c r="AQ30" i="16"/>
  <c r="AP30" i="16"/>
  <c r="AO30" i="16"/>
  <c r="AN30" i="16"/>
  <c r="AM30" i="16"/>
  <c r="AL30" i="16"/>
  <c r="AA32" i="16"/>
  <c r="AM32" i="16" l="1"/>
  <c r="AT30" i="16"/>
  <c r="AN32" i="16"/>
  <c r="AS30" i="16"/>
  <c r="AO38" i="16"/>
  <c r="AS36" i="16"/>
  <c r="AU37" i="16"/>
  <c r="AL38" i="16"/>
  <c r="AP38" i="16"/>
  <c r="AN38" i="16"/>
  <c r="AU36" i="16"/>
  <c r="AT36" i="16"/>
  <c r="AM38" i="16"/>
  <c r="AQ38" i="16"/>
  <c r="AT37" i="16"/>
  <c r="AR38" i="16"/>
  <c r="AS37" i="16"/>
  <c r="AU30" i="16"/>
  <c r="AP32" i="16"/>
  <c r="AQ32" i="16"/>
  <c r="AB31" i="16"/>
  <c r="AF32" i="16"/>
  <c r="AR27" i="16"/>
  <c r="AQ27" i="16"/>
  <c r="AP27" i="16"/>
  <c r="AO27" i="16"/>
  <c r="AN27" i="16"/>
  <c r="AM27" i="16"/>
  <c r="AL27" i="16"/>
  <c r="AR25" i="16"/>
  <c r="AN25" i="16"/>
  <c r="AM25" i="16"/>
  <c r="L24" i="16"/>
  <c r="X24" i="16"/>
  <c r="AC24" i="16"/>
  <c r="V24" i="16"/>
  <c r="AL31" i="16" l="1"/>
  <c r="AL32" i="16" s="1"/>
  <c r="AR31" i="16"/>
  <c r="AO31" i="16"/>
  <c r="T24" i="16"/>
  <c r="AB24" i="16"/>
  <c r="AA25" i="16"/>
  <c r="AA26" i="16" s="1"/>
  <c r="Z24" i="16"/>
  <c r="S24" i="16"/>
  <c r="C24" i="16"/>
  <c r="AK24" i="16"/>
  <c r="AH24" i="16"/>
  <c r="AF26" i="16"/>
  <c r="F24" i="16"/>
  <c r="G24" i="16"/>
  <c r="W24" i="16"/>
  <c r="W25" i="16" s="1"/>
  <c r="AP25" i="16" s="1"/>
  <c r="B24" i="16"/>
  <c r="M24" i="16"/>
  <c r="M25" i="16" s="1"/>
  <c r="U24" i="16"/>
  <c r="D24" i="16"/>
  <c r="N24" i="16"/>
  <c r="N25" i="16" s="1"/>
  <c r="I24" i="16"/>
  <c r="Y24" i="16"/>
  <c r="AR21" i="16"/>
  <c r="AQ21" i="16"/>
  <c r="AP21" i="16"/>
  <c r="AO21" i="16"/>
  <c r="AN21" i="16"/>
  <c r="AM21" i="16"/>
  <c r="AL21" i="16"/>
  <c r="AR19" i="16"/>
  <c r="AQ19" i="16"/>
  <c r="AP19" i="16"/>
  <c r="AO19" i="16"/>
  <c r="AN19" i="16"/>
  <c r="AM19" i="16"/>
  <c r="AL19" i="16"/>
  <c r="AP18" i="16"/>
  <c r="AN18" i="16"/>
  <c r="AM18" i="16"/>
  <c r="AA20" i="16"/>
  <c r="C18" i="16"/>
  <c r="AM24" i="16" l="1"/>
  <c r="AR32" i="16"/>
  <c r="AU31" i="16"/>
  <c r="AT31" i="16"/>
  <c r="AO32" i="16"/>
  <c r="AS31" i="16"/>
  <c r="AO25" i="16"/>
  <c r="AQ25" i="16"/>
  <c r="AL25" i="16"/>
  <c r="AM26" i="16"/>
  <c r="AP20" i="16"/>
  <c r="AM20" i="16"/>
  <c r="AN24" i="16"/>
  <c r="AN26" i="16" s="1"/>
  <c r="AQ24" i="16"/>
  <c r="AL24" i="16"/>
  <c r="AO24" i="16"/>
  <c r="AN20" i="16"/>
  <c r="AP24" i="16"/>
  <c r="AP26" i="16" s="1"/>
  <c r="AR24" i="16"/>
  <c r="AR26" i="16" s="1"/>
  <c r="AS19" i="16"/>
  <c r="AU19" i="16"/>
  <c r="AT19" i="16"/>
  <c r="AF18" i="16"/>
  <c r="AQ18" i="16" s="1"/>
  <c r="AQ20" i="16" s="1"/>
  <c r="AU24" i="16" l="1"/>
  <c r="AQ26" i="16"/>
  <c r="AU25" i="16"/>
  <c r="AF20" i="16"/>
  <c r="AO26" i="16"/>
  <c r="AS25" i="16"/>
  <c r="AT24" i="16"/>
  <c r="AS24" i="16"/>
  <c r="AL26" i="16"/>
  <c r="AT25" i="16"/>
  <c r="H18" i="16"/>
  <c r="H77" i="16" s="1"/>
  <c r="AB18" i="16" l="1"/>
  <c r="AL18" i="16" s="1"/>
  <c r="AL20" i="16" s="1"/>
  <c r="N12" i="16"/>
  <c r="AR18" i="16" l="1"/>
  <c r="AO18" i="16"/>
  <c r="AQ15" i="16"/>
  <c r="AO15" i="16"/>
  <c r="AO20" i="16" l="1"/>
  <c r="AS18" i="16"/>
  <c r="AR20" i="16"/>
  <c r="AT18" i="16"/>
  <c r="AU18" i="16"/>
  <c r="AR15" i="16"/>
  <c r="AP15" i="16"/>
  <c r="AN15" i="16"/>
  <c r="AM15" i="16"/>
  <c r="AL15" i="16"/>
  <c r="AM13" i="16"/>
  <c r="P12" i="16"/>
  <c r="P77" i="16" s="1"/>
  <c r="P79" i="16" s="1"/>
  <c r="AC12" i="16" l="1"/>
  <c r="AA12" i="16"/>
  <c r="AA14" i="16" s="1"/>
  <c r="D12" i="16"/>
  <c r="S12" i="16"/>
  <c r="S77" i="16" s="1"/>
  <c r="AH12" i="16" l="1"/>
  <c r="B12" i="16"/>
  <c r="V12" i="16"/>
  <c r="X12" i="16"/>
  <c r="M12" i="16"/>
  <c r="AE12" i="16" l="1"/>
  <c r="AF14" i="16"/>
  <c r="AK12" i="16" l="1"/>
  <c r="AD12" i="16"/>
  <c r="AB12" i="16"/>
  <c r="W12" i="16"/>
  <c r="W13" i="16" s="1"/>
  <c r="T12" i="16"/>
  <c r="O12" i="16"/>
  <c r="L12" i="16"/>
  <c r="K12" i="16"/>
  <c r="I12" i="16"/>
  <c r="F12" i="16"/>
  <c r="C14" i="16"/>
  <c r="C12" i="16"/>
  <c r="AM12" i="16" l="1"/>
  <c r="AD77" i="16"/>
  <c r="AP13" i="16"/>
  <c r="AB13" i="16"/>
  <c r="AR13" i="16" s="1"/>
  <c r="AR12" i="16"/>
  <c r="AM14" i="16"/>
  <c r="Z12" i="16"/>
  <c r="Y12" i="16"/>
  <c r="Y13" i="16" s="1"/>
  <c r="AL13" i="16" s="1"/>
  <c r="G12" i="16"/>
  <c r="G77" i="16" s="1"/>
  <c r="G79" i="16" s="1"/>
  <c r="AR9" i="16"/>
  <c r="AQ9" i="16"/>
  <c r="AP9" i="16"/>
  <c r="AO9" i="16"/>
  <c r="AN9" i="16"/>
  <c r="AM9" i="16"/>
  <c r="AL9" i="16"/>
  <c r="AR7" i="16"/>
  <c r="AQ7" i="16"/>
  <c r="AP7" i="16"/>
  <c r="AO7" i="16"/>
  <c r="AN7" i="16"/>
  <c r="AM7" i="16"/>
  <c r="AL7" i="16"/>
  <c r="AP6" i="16"/>
  <c r="AP8" i="16" s="1"/>
  <c r="AM6" i="16"/>
  <c r="C6" i="16"/>
  <c r="B6" i="16"/>
  <c r="AR6" i="16" l="1"/>
  <c r="C77" i="16"/>
  <c r="C79" i="16" s="1"/>
  <c r="AW19" i="16"/>
  <c r="AL12" i="16"/>
  <c r="AN12" i="16"/>
  <c r="AR8" i="16"/>
  <c r="AO12" i="16"/>
  <c r="AL14" i="16"/>
  <c r="AR14" i="16"/>
  <c r="AP12" i="16"/>
  <c r="AP14" i="16" s="1"/>
  <c r="C8" i="16"/>
  <c r="AN13" i="16"/>
  <c r="AQ13" i="16"/>
  <c r="AU13" i="16" s="1"/>
  <c r="AQ12" i="16"/>
  <c r="AU12" i="16" s="1"/>
  <c r="AO13" i="16"/>
  <c r="AM8" i="16"/>
  <c r="AO6" i="16"/>
  <c r="AO8" i="16" s="1"/>
  <c r="AT7" i="16"/>
  <c r="AS7" i="16"/>
  <c r="AS12" i="16" l="1"/>
  <c r="AO14" i="16"/>
  <c r="AT13" i="16"/>
  <c r="AS13" i="16"/>
  <c r="AT12" i="16"/>
  <c r="AN14" i="16"/>
  <c r="AQ14" i="16"/>
  <c r="AH6" i="16"/>
  <c r="AA8" i="16"/>
  <c r="AN6" i="16" l="1"/>
  <c r="AQ6" i="16"/>
  <c r="AL6" i="16"/>
  <c r="AJ78" i="16"/>
  <c r="AG78" i="16"/>
  <c r="AE78" i="16"/>
  <c r="Z78" i="16"/>
  <c r="R78" i="16"/>
  <c r="I78" i="16"/>
  <c r="H78" i="16"/>
  <c r="AJ77" i="16"/>
  <c r="AG77" i="16"/>
  <c r="R77" i="16"/>
  <c r="AJ74" i="16"/>
  <c r="AI74" i="16"/>
  <c r="AH74" i="16"/>
  <c r="AG74" i="16"/>
  <c r="AE74" i="16"/>
  <c r="AD74" i="16"/>
  <c r="AC74" i="16"/>
  <c r="AB74" i="16"/>
  <c r="Z74" i="16"/>
  <c r="X74" i="16"/>
  <c r="V74" i="16"/>
  <c r="S74" i="16"/>
  <c r="R74" i="16"/>
  <c r="Q74" i="16"/>
  <c r="P74" i="16"/>
  <c r="O74" i="16"/>
  <c r="N74" i="16"/>
  <c r="M74" i="16"/>
  <c r="K74" i="16"/>
  <c r="H74" i="16"/>
  <c r="G74" i="16"/>
  <c r="F74" i="16"/>
  <c r="D74" i="16"/>
  <c r="C74" i="16"/>
  <c r="B74" i="16"/>
  <c r="W74" i="16"/>
  <c r="Y74" i="16"/>
  <c r="U74" i="16"/>
  <c r="T78" i="16"/>
  <c r="I74" i="16"/>
  <c r="AR69" i="16"/>
  <c r="AQ69" i="16"/>
  <c r="AP69" i="16"/>
  <c r="AO69" i="16"/>
  <c r="AN69" i="16"/>
  <c r="AM69" i="16"/>
  <c r="AL69" i="16"/>
  <c r="AK68" i="16"/>
  <c r="AJ68" i="16"/>
  <c r="AI68" i="16"/>
  <c r="AH68" i="16"/>
  <c r="AG68" i="16"/>
  <c r="AE68" i="16"/>
  <c r="AB68" i="16"/>
  <c r="AA68" i="16"/>
  <c r="Z68" i="16"/>
  <c r="Y68" i="16"/>
  <c r="X68" i="16"/>
  <c r="V68" i="16"/>
  <c r="U68" i="16"/>
  <c r="S68" i="16"/>
  <c r="R68" i="16"/>
  <c r="Q68" i="16"/>
  <c r="P68" i="16"/>
  <c r="O68" i="16"/>
  <c r="N68" i="16"/>
  <c r="K68" i="16"/>
  <c r="I68" i="16"/>
  <c r="H68" i="16"/>
  <c r="G68" i="16"/>
  <c r="D68" i="16"/>
  <c r="C68" i="16"/>
  <c r="AR67" i="16"/>
  <c r="AN67" i="16"/>
  <c r="W68" i="16"/>
  <c r="F68" i="16"/>
  <c r="B68" i="16"/>
  <c r="AR66" i="16"/>
  <c r="AP66" i="16"/>
  <c r="AN66" i="16"/>
  <c r="AL66" i="16"/>
  <c r="AJ62" i="16"/>
  <c r="AI62" i="16"/>
  <c r="AH62" i="16"/>
  <c r="AG62" i="16"/>
  <c r="AE62" i="16"/>
  <c r="AD62" i="16"/>
  <c r="AC62" i="16"/>
  <c r="AB62" i="16"/>
  <c r="X62" i="16"/>
  <c r="V62" i="16"/>
  <c r="U62" i="16"/>
  <c r="R62" i="16"/>
  <c r="P62" i="16"/>
  <c r="M62" i="16"/>
  <c r="K62" i="16"/>
  <c r="I62" i="16"/>
  <c r="H62" i="16"/>
  <c r="G62" i="16"/>
  <c r="F62" i="16"/>
  <c r="D62" i="16"/>
  <c r="C62" i="16"/>
  <c r="Z62" i="16"/>
  <c r="Y62" i="16"/>
  <c r="W62" i="16"/>
  <c r="AJ56" i="16"/>
  <c r="AI56" i="16"/>
  <c r="AH56" i="16"/>
  <c r="AG56" i="16"/>
  <c r="AE56" i="16"/>
  <c r="AD56" i="16"/>
  <c r="AC56" i="16"/>
  <c r="AB56" i="16"/>
  <c r="X56" i="16"/>
  <c r="V56" i="16"/>
  <c r="S56" i="16"/>
  <c r="R56" i="16"/>
  <c r="M56" i="16"/>
  <c r="K56" i="16"/>
  <c r="H56" i="16"/>
  <c r="G56" i="16"/>
  <c r="C56" i="16"/>
  <c r="F56" i="16"/>
  <c r="AK50" i="16"/>
  <c r="AJ50" i="16"/>
  <c r="AI50" i="16"/>
  <c r="AH50" i="16"/>
  <c r="AG50" i="16"/>
  <c r="AE50" i="16"/>
  <c r="AD50" i="16"/>
  <c r="AC50" i="16"/>
  <c r="AB50" i="16"/>
  <c r="AA50" i="16"/>
  <c r="Z50" i="16"/>
  <c r="Y50" i="16"/>
  <c r="X50" i="16"/>
  <c r="V50" i="16"/>
  <c r="S50" i="16"/>
  <c r="R50" i="16"/>
  <c r="P50" i="16"/>
  <c r="M50" i="16"/>
  <c r="K50" i="16"/>
  <c r="I50" i="16"/>
  <c r="H50" i="16"/>
  <c r="G50" i="16"/>
  <c r="F50" i="16"/>
  <c r="D50" i="16"/>
  <c r="C50" i="16"/>
  <c r="AK44" i="16"/>
  <c r="AI44" i="16"/>
  <c r="AH44" i="16"/>
  <c r="AG44" i="16"/>
  <c r="AE44" i="16"/>
  <c r="AD44" i="16"/>
  <c r="AC44" i="16"/>
  <c r="AB44" i="16"/>
  <c r="AA44" i="16"/>
  <c r="Z44" i="16"/>
  <c r="Y44" i="16"/>
  <c r="X44" i="16"/>
  <c r="W44" i="16"/>
  <c r="V44" i="16"/>
  <c r="S44" i="16"/>
  <c r="R44" i="16"/>
  <c r="P44" i="16"/>
  <c r="O44" i="16"/>
  <c r="N44" i="16"/>
  <c r="M44" i="16"/>
  <c r="K44" i="16"/>
  <c r="I44" i="16"/>
  <c r="H44" i="16"/>
  <c r="F44" i="16"/>
  <c r="D44" i="16"/>
  <c r="C44" i="16"/>
  <c r="AK38" i="16"/>
  <c r="AJ38" i="16"/>
  <c r="AI38" i="16"/>
  <c r="AH38" i="16"/>
  <c r="AG38" i="16"/>
  <c r="AE38" i="16"/>
  <c r="AD38" i="16"/>
  <c r="AC38" i="16"/>
  <c r="Z38" i="16"/>
  <c r="Y38" i="16"/>
  <c r="W38" i="16"/>
  <c r="V38" i="16"/>
  <c r="S38" i="16"/>
  <c r="R38" i="16"/>
  <c r="P38" i="16"/>
  <c r="O38" i="16"/>
  <c r="N38" i="16"/>
  <c r="M38" i="16"/>
  <c r="K38" i="16"/>
  <c r="I38" i="16"/>
  <c r="H38" i="16"/>
  <c r="G38" i="16"/>
  <c r="D38" i="16"/>
  <c r="C38" i="16"/>
  <c r="B38" i="16"/>
  <c r="AA38" i="16"/>
  <c r="F38" i="16"/>
  <c r="AJ32" i="16"/>
  <c r="AI32" i="16"/>
  <c r="AH32" i="16"/>
  <c r="AG32" i="16"/>
  <c r="AE32" i="16"/>
  <c r="AD32" i="16"/>
  <c r="AC32" i="16"/>
  <c r="AB32" i="16"/>
  <c r="Z32" i="16"/>
  <c r="Y32" i="16"/>
  <c r="X32" i="16"/>
  <c r="W32" i="16"/>
  <c r="V32" i="16"/>
  <c r="U32" i="16"/>
  <c r="S32" i="16"/>
  <c r="R32" i="16"/>
  <c r="Q32" i="16"/>
  <c r="P32" i="16"/>
  <c r="O32" i="16"/>
  <c r="N32" i="16"/>
  <c r="M32" i="16"/>
  <c r="L32" i="16"/>
  <c r="K32" i="16"/>
  <c r="I32" i="16"/>
  <c r="H32" i="16"/>
  <c r="G32" i="16"/>
  <c r="F32" i="16"/>
  <c r="D32" i="16"/>
  <c r="C32" i="16"/>
  <c r="B32" i="16"/>
  <c r="AJ26" i="16"/>
  <c r="AI26" i="16"/>
  <c r="AH26" i="16"/>
  <c r="AG26" i="16"/>
  <c r="R26" i="16"/>
  <c r="Q26" i="16"/>
  <c r="N26" i="16"/>
  <c r="M26" i="16"/>
  <c r="K26" i="16"/>
  <c r="H26" i="16"/>
  <c r="D26" i="16"/>
  <c r="C26" i="16"/>
  <c r="AE26" i="16"/>
  <c r="AD26" i="16"/>
  <c r="AC26" i="16"/>
  <c r="Z26" i="16"/>
  <c r="Y26" i="16"/>
  <c r="X26" i="16"/>
  <c r="V26" i="16"/>
  <c r="T26" i="16"/>
  <c r="P26" i="16"/>
  <c r="O26" i="16"/>
  <c r="L26" i="16"/>
  <c r="G26" i="16"/>
  <c r="AK20" i="16"/>
  <c r="AJ20" i="16"/>
  <c r="AI20" i="16"/>
  <c r="AH20" i="16"/>
  <c r="AG20" i="16"/>
  <c r="AE20" i="16"/>
  <c r="AC20" i="16"/>
  <c r="AB20" i="16"/>
  <c r="Z20" i="16"/>
  <c r="Y20" i="16"/>
  <c r="X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I20" i="16"/>
  <c r="H20" i="16"/>
  <c r="G20" i="16"/>
  <c r="F20" i="16"/>
  <c r="D20" i="16"/>
  <c r="B20" i="16"/>
  <c r="W20" i="16"/>
  <c r="C20" i="16"/>
  <c r="AK14" i="16"/>
  <c r="AJ14" i="16"/>
  <c r="AI14" i="16"/>
  <c r="AH14" i="16"/>
  <c r="AG14" i="16"/>
  <c r="AD14" i="16"/>
  <c r="AB14" i="16"/>
  <c r="Y14" i="16"/>
  <c r="S14" i="16"/>
  <c r="R14" i="16"/>
  <c r="Q14" i="16"/>
  <c r="P14" i="16"/>
  <c r="M14" i="16"/>
  <c r="K14" i="16"/>
  <c r="Z14" i="16"/>
  <c r="V14" i="16"/>
  <c r="U14" i="16"/>
  <c r="T14" i="16"/>
  <c r="O14" i="16"/>
  <c r="L14" i="16"/>
  <c r="I14" i="16"/>
  <c r="G14" i="16"/>
  <c r="F77" i="16"/>
  <c r="D14" i="16"/>
  <c r="AK8" i="16"/>
  <c r="AJ8" i="16"/>
  <c r="AI8" i="16"/>
  <c r="AH8" i="16"/>
  <c r="AG8" i="16"/>
  <c r="AE8" i="16"/>
  <c r="AD8" i="16"/>
  <c r="AC8" i="16"/>
  <c r="Z8" i="16"/>
  <c r="Y8" i="16"/>
  <c r="X8" i="16"/>
  <c r="W8" i="16"/>
  <c r="V8" i="16"/>
  <c r="U8" i="16"/>
  <c r="T8" i="16"/>
  <c r="R8" i="16"/>
  <c r="Q8" i="16"/>
  <c r="P8" i="16"/>
  <c r="N8" i="16"/>
  <c r="M8" i="16"/>
  <c r="L8" i="16"/>
  <c r="K8" i="16"/>
  <c r="I8" i="16"/>
  <c r="H8" i="16"/>
  <c r="G8" i="16"/>
  <c r="F8" i="16"/>
  <c r="D8" i="16"/>
  <c r="B8" i="16"/>
  <c r="S8" i="16"/>
  <c r="AB8" i="16"/>
  <c r="R78" i="15"/>
  <c r="R77" i="15"/>
  <c r="I78" i="15"/>
  <c r="AQ75" i="15"/>
  <c r="AP75" i="15"/>
  <c r="AO75" i="15"/>
  <c r="AN75" i="15"/>
  <c r="AM75" i="15"/>
  <c r="AL75" i="15"/>
  <c r="AK75" i="15"/>
  <c r="AQ73" i="15"/>
  <c r="AM73" i="15"/>
  <c r="AL73" i="15"/>
  <c r="AQ72" i="15"/>
  <c r="AA72" i="15"/>
  <c r="AA73" i="15" s="1"/>
  <c r="AP73" i="15" s="1"/>
  <c r="AL8" i="16" l="1"/>
  <c r="AW18" i="16"/>
  <c r="AW20" i="16" s="1"/>
  <c r="AN68" i="16"/>
  <c r="AR68" i="16"/>
  <c r="U56" i="16"/>
  <c r="AA74" i="15"/>
  <c r="T77" i="16"/>
  <c r="T79" i="16" s="1"/>
  <c r="M68" i="16"/>
  <c r="AK74" i="16"/>
  <c r="R79" i="15"/>
  <c r="AQ8" i="16"/>
  <c r="AT6" i="16"/>
  <c r="U38" i="16"/>
  <c r="AO66" i="16"/>
  <c r="AN8" i="16"/>
  <c r="AS6" i="16"/>
  <c r="AJ79" i="16"/>
  <c r="W14" i="16"/>
  <c r="AG79" i="16"/>
  <c r="F26" i="16"/>
  <c r="X14" i="16"/>
  <c r="AC14" i="16"/>
  <c r="AC77" i="16"/>
  <c r="AE14" i="16"/>
  <c r="AE77" i="16"/>
  <c r="AE79" i="16" s="1"/>
  <c r="B26" i="16"/>
  <c r="I26" i="16"/>
  <c r="I77" i="16"/>
  <c r="I79" i="16" s="1"/>
  <c r="U78" i="16"/>
  <c r="AR76" i="16"/>
  <c r="AU6" i="16"/>
  <c r="O8" i="16"/>
  <c r="O78" i="16"/>
  <c r="N14" i="16"/>
  <c r="AD20" i="16"/>
  <c r="X38" i="16"/>
  <c r="AB38" i="16"/>
  <c r="O50" i="16"/>
  <c r="W50" i="16"/>
  <c r="AU7" i="16"/>
  <c r="B14" i="16"/>
  <c r="H14" i="16"/>
  <c r="S26" i="16"/>
  <c r="AB26" i="16"/>
  <c r="AK26" i="16"/>
  <c r="O77" i="16"/>
  <c r="F78" i="16"/>
  <c r="F79" i="16" s="1"/>
  <c r="AR77" i="16"/>
  <c r="AK77" i="16"/>
  <c r="F14" i="16"/>
  <c r="U26" i="16"/>
  <c r="U77" i="16"/>
  <c r="P56" i="16"/>
  <c r="H79" i="16"/>
  <c r="S79" i="16"/>
  <c r="Z77" i="16"/>
  <c r="Z79" i="16" s="1"/>
  <c r="O62" i="16"/>
  <c r="AM66" i="16"/>
  <c r="AQ66" i="16"/>
  <c r="AT66" i="16" s="1"/>
  <c r="AP67" i="16"/>
  <c r="T74" i="16"/>
  <c r="R79" i="16"/>
  <c r="AT61" i="16"/>
  <c r="S62" i="16"/>
  <c r="AO67" i="16"/>
  <c r="AD68" i="16"/>
  <c r="AQ74" i="15"/>
  <c r="Y72" i="15"/>
  <c r="C74" i="15"/>
  <c r="Z72" i="15"/>
  <c r="I72" i="15"/>
  <c r="AO77" i="16" l="1"/>
  <c r="AO68" i="16"/>
  <c r="AT60" i="16"/>
  <c r="AR78" i="16"/>
  <c r="AS66" i="16"/>
  <c r="AN76" i="16"/>
  <c r="AL83" i="16"/>
  <c r="AL76" i="16"/>
  <c r="AP76" i="16"/>
  <c r="AD79" i="16"/>
  <c r="O79" i="16"/>
  <c r="AN77" i="16"/>
  <c r="AM76" i="16"/>
  <c r="AP68" i="16"/>
  <c r="W26" i="16"/>
  <c r="AO76" i="16"/>
  <c r="X79" i="16"/>
  <c r="U79" i="16"/>
  <c r="AQ76" i="16"/>
  <c r="AL84" i="16" l="1"/>
  <c r="AN78" i="16"/>
  <c r="AJ72" i="15"/>
  <c r="W73" i="15"/>
  <c r="U72" i="15"/>
  <c r="AL72" i="15" s="1"/>
  <c r="T72" i="15"/>
  <c r="N72" i="15"/>
  <c r="AN69" i="15"/>
  <c r="AL69" i="15"/>
  <c r="AQ69" i="15"/>
  <c r="AP69" i="15"/>
  <c r="AO69" i="15"/>
  <c r="AM69" i="15"/>
  <c r="AK69" i="15"/>
  <c r="AQ67" i="15"/>
  <c r="AL67" i="15"/>
  <c r="AQ66" i="15"/>
  <c r="AO66" i="15"/>
  <c r="AM66" i="15"/>
  <c r="AK72" i="15" l="1"/>
  <c r="AK73" i="15"/>
  <c r="AN73" i="15"/>
  <c r="AO73" i="15"/>
  <c r="AQ68" i="15"/>
  <c r="AN72" i="15"/>
  <c r="AO72" i="15"/>
  <c r="AP72" i="15"/>
  <c r="AP74" i="15" s="1"/>
  <c r="AM72" i="15"/>
  <c r="AM74" i="15" s="1"/>
  <c r="AL74" i="15"/>
  <c r="AD66" i="15"/>
  <c r="AL66" i="15" l="1"/>
  <c r="AL68" i="15" s="1"/>
  <c r="AK74" i="15"/>
  <c r="AR72" i="15"/>
  <c r="AS72" i="15"/>
  <c r="AN74" i="15"/>
  <c r="AR73" i="15"/>
  <c r="AO74" i="15"/>
  <c r="AS73" i="15"/>
  <c r="C68" i="15"/>
  <c r="AA68" i="15"/>
  <c r="M66" i="15"/>
  <c r="B67" i="15"/>
  <c r="B82" i="15" s="1"/>
  <c r="F67" i="15"/>
  <c r="W67" i="15"/>
  <c r="AB68" i="15"/>
  <c r="Y67" i="15"/>
  <c r="Y82" i="15" s="1"/>
  <c r="AQ63" i="15"/>
  <c r="AP63" i="15"/>
  <c r="AO63" i="15"/>
  <c r="AN63" i="15"/>
  <c r="AM63" i="15"/>
  <c r="AL63" i="15"/>
  <c r="AK63" i="15"/>
  <c r="AQ61" i="15"/>
  <c r="AP61" i="15"/>
  <c r="AO61" i="15"/>
  <c r="AN61" i="15"/>
  <c r="AM61" i="15"/>
  <c r="AL61" i="15"/>
  <c r="AK61" i="15"/>
  <c r="T60" i="15"/>
  <c r="T62" i="15" s="1"/>
  <c r="Y60" i="15"/>
  <c r="Z60" i="15"/>
  <c r="H60" i="15"/>
  <c r="AQ60" i="15" s="1"/>
  <c r="F83" i="16" l="1"/>
  <c r="F83" i="18"/>
  <c r="AO67" i="15"/>
  <c r="AO68" i="15" s="1"/>
  <c r="AQ62" i="15"/>
  <c r="AM67" i="15"/>
  <c r="AK67" i="15"/>
  <c r="AN67" i="15"/>
  <c r="AP67" i="15"/>
  <c r="AS67" i="15" s="1"/>
  <c r="AN66" i="15"/>
  <c r="AP66" i="15"/>
  <c r="AK66" i="15"/>
  <c r="S60" i="15"/>
  <c r="S62" i="15" s="1"/>
  <c r="AK68" i="15" l="1"/>
  <c r="AN68" i="15"/>
  <c r="AR66" i="15"/>
  <c r="AM68" i="15"/>
  <c r="AR67" i="15"/>
  <c r="AP68" i="15"/>
  <c r="AS66" i="15"/>
  <c r="AL60" i="15"/>
  <c r="AL62" i="15" s="1"/>
  <c r="AP60" i="15"/>
  <c r="AP62" i="15" s="1"/>
  <c r="C62" i="15"/>
  <c r="AB62" i="15" l="1"/>
  <c r="W60" i="15"/>
  <c r="AN60" i="15" l="1"/>
  <c r="AN62" i="15" s="1"/>
  <c r="O60" i="15"/>
  <c r="AQ57" i="15"/>
  <c r="AP57" i="15"/>
  <c r="AO57" i="15"/>
  <c r="AN57" i="15"/>
  <c r="AM57" i="15"/>
  <c r="AL57" i="15"/>
  <c r="AK57" i="15"/>
  <c r="AP55" i="15"/>
  <c r="AL55" i="15"/>
  <c r="AQ54" i="15"/>
  <c r="AO54" i="15"/>
  <c r="AN54" i="15"/>
  <c r="AM54" i="15"/>
  <c r="U54" i="15"/>
  <c r="AK54" i="15" s="1"/>
  <c r="F55" i="15"/>
  <c r="F56" i="15" s="1"/>
  <c r="P55" i="15"/>
  <c r="C56" i="15"/>
  <c r="AB56" i="15"/>
  <c r="S50" i="15"/>
  <c r="AP49" i="15"/>
  <c r="O48" i="15"/>
  <c r="AK48" i="15" s="1"/>
  <c r="AQ49" i="15"/>
  <c r="AB50" i="15"/>
  <c r="AQ51" i="15"/>
  <c r="AP51" i="15"/>
  <c r="AO51" i="15"/>
  <c r="AN51" i="15"/>
  <c r="AM51" i="15"/>
  <c r="AL51" i="15"/>
  <c r="AK51" i="15"/>
  <c r="AQ48" i="15"/>
  <c r="AP48" i="15"/>
  <c r="AO48" i="15"/>
  <c r="AN48" i="15"/>
  <c r="AM49" i="15"/>
  <c r="AL49" i="15"/>
  <c r="AL48" i="15"/>
  <c r="W49" i="15"/>
  <c r="C50" i="15"/>
  <c r="AA50" i="15"/>
  <c r="Z50" i="15"/>
  <c r="N44" i="15"/>
  <c r="AQ45" i="15"/>
  <c r="AP45" i="15"/>
  <c r="AO45" i="15"/>
  <c r="AN45" i="15"/>
  <c r="AM45" i="15"/>
  <c r="AL45" i="15"/>
  <c r="AK45" i="15"/>
  <c r="AQ43" i="15"/>
  <c r="AQ42" i="15"/>
  <c r="AP43" i="15"/>
  <c r="AP42" i="15"/>
  <c r="AO43" i="15"/>
  <c r="AO42" i="15"/>
  <c r="AN43" i="15"/>
  <c r="AN42" i="15"/>
  <c r="AM43" i="15"/>
  <c r="AM42" i="15"/>
  <c r="AL43" i="15"/>
  <c r="AL42" i="15"/>
  <c r="AK43" i="15"/>
  <c r="AK42" i="15"/>
  <c r="C44" i="15"/>
  <c r="AA44" i="15"/>
  <c r="AB37" i="15"/>
  <c r="AB82" i="15" s="1"/>
  <c r="AB44" i="15"/>
  <c r="AP39" i="15"/>
  <c r="AN39" i="15"/>
  <c r="AN36" i="15"/>
  <c r="AQ39" i="15"/>
  <c r="AO39" i="15"/>
  <c r="AM39" i="15"/>
  <c r="AL39" i="15"/>
  <c r="AK39" i="15"/>
  <c r="AQ36" i="15"/>
  <c r="AO36" i="15"/>
  <c r="AM36" i="15"/>
  <c r="U36" i="15"/>
  <c r="AP36" i="15" s="1"/>
  <c r="AA37" i="15"/>
  <c r="F37" i="15"/>
  <c r="AO37" i="15" s="1"/>
  <c r="X37" i="15"/>
  <c r="X82" i="15" s="1"/>
  <c r="C38" i="15"/>
  <c r="S32" i="15"/>
  <c r="AP31" i="15"/>
  <c r="AQ33" i="15"/>
  <c r="AP33" i="15"/>
  <c r="AO33" i="15"/>
  <c r="AN33" i="15"/>
  <c r="AM33" i="15"/>
  <c r="AL33" i="15"/>
  <c r="AK33" i="15"/>
  <c r="AQ31" i="15"/>
  <c r="AO31" i="15"/>
  <c r="AN31" i="15"/>
  <c r="AM31" i="15"/>
  <c r="AK31" i="15"/>
  <c r="AQ30" i="15"/>
  <c r="AP30" i="15"/>
  <c r="AO30" i="15"/>
  <c r="AN30" i="15"/>
  <c r="AM30" i="15"/>
  <c r="AL30" i="15"/>
  <c r="AK30" i="15"/>
  <c r="AL31" i="15"/>
  <c r="C32" i="15"/>
  <c r="AB32" i="15"/>
  <c r="S24" i="15"/>
  <c r="AQ27" i="15"/>
  <c r="AP27" i="15"/>
  <c r="AO27" i="15"/>
  <c r="AN27" i="15"/>
  <c r="AM27" i="15"/>
  <c r="AL27" i="15"/>
  <c r="AK27" i="15"/>
  <c r="AQ25" i="15"/>
  <c r="AJ24" i="15"/>
  <c r="AJ25" i="15" s="1"/>
  <c r="F24" i="15"/>
  <c r="F25" i="15" s="1"/>
  <c r="F82" i="15" s="1"/>
  <c r="Z24" i="15"/>
  <c r="X24" i="15"/>
  <c r="V24" i="15"/>
  <c r="V26" i="15" s="1"/>
  <c r="L24" i="15"/>
  <c r="L26" i="15" s="1"/>
  <c r="G24" i="15"/>
  <c r="C24" i="15"/>
  <c r="C26" i="15" s="1"/>
  <c r="U24" i="15"/>
  <c r="U25" i="15" s="1"/>
  <c r="U82" i="15" s="1"/>
  <c r="T24" i="15"/>
  <c r="T26" i="15" s="1"/>
  <c r="AC24" i="15"/>
  <c r="AD24" i="15"/>
  <c r="P24" i="15"/>
  <c r="P26" i="15" s="1"/>
  <c r="B24" i="15"/>
  <c r="B26" i="15" s="1"/>
  <c r="AB24" i="15"/>
  <c r="AB26" i="15" s="1"/>
  <c r="Y24" i="15"/>
  <c r="W24" i="15"/>
  <c r="O24" i="15"/>
  <c r="O26" i="15" s="1"/>
  <c r="I24" i="15"/>
  <c r="AE24" i="15"/>
  <c r="AQ21" i="15"/>
  <c r="AN21" i="15"/>
  <c r="AQ19" i="15"/>
  <c r="AP21" i="15"/>
  <c r="AO21" i="15"/>
  <c r="AM21" i="15"/>
  <c r="AL21" i="15"/>
  <c r="AK21" i="15"/>
  <c r="AM19" i="15"/>
  <c r="AP18" i="15"/>
  <c r="AO18" i="15"/>
  <c r="AM18" i="15"/>
  <c r="AL18" i="15"/>
  <c r="W19" i="15"/>
  <c r="W20" i="15" s="1"/>
  <c r="C18" i="15"/>
  <c r="C20" i="15" s="1"/>
  <c r="AB20" i="15"/>
  <c r="AD19" i="15"/>
  <c r="AD78" i="15" s="1"/>
  <c r="AH20" i="15"/>
  <c r="R12" i="13"/>
  <c r="R14" i="13" s="1"/>
  <c r="S14" i="15"/>
  <c r="AQ15" i="15"/>
  <c r="AP15" i="15"/>
  <c r="AO15" i="15"/>
  <c r="AN15" i="15"/>
  <c r="AM15" i="15"/>
  <c r="AL15" i="15"/>
  <c r="AK15" i="15"/>
  <c r="AQ13" i="15"/>
  <c r="AM13" i="15"/>
  <c r="AL13" i="15"/>
  <c r="B12" i="15"/>
  <c r="O12" i="15"/>
  <c r="O14" i="15" s="1"/>
  <c r="W13" i="15"/>
  <c r="U12" i="15"/>
  <c r="U14" i="15" s="1"/>
  <c r="T12" i="15"/>
  <c r="M12" i="15"/>
  <c r="M14" i="15" s="1"/>
  <c r="V12" i="15"/>
  <c r="V14" i="15" s="1"/>
  <c r="L12" i="15"/>
  <c r="L14" i="15" s="1"/>
  <c r="I12" i="15"/>
  <c r="AJ12" i="15"/>
  <c r="AC12" i="15"/>
  <c r="AC14" i="15" s="1"/>
  <c r="AD12" i="15"/>
  <c r="X12" i="15"/>
  <c r="X77" i="15" s="1"/>
  <c r="AB12" i="15"/>
  <c r="AB14" i="15" s="1"/>
  <c r="N13" i="15"/>
  <c r="G12" i="15"/>
  <c r="G14" i="15" s="1"/>
  <c r="F12" i="15"/>
  <c r="F14" i="15" s="1"/>
  <c r="Y12" i="15"/>
  <c r="Y14" i="15" s="1"/>
  <c r="D12" i="15"/>
  <c r="H12" i="15"/>
  <c r="H77" i="15" s="1"/>
  <c r="Z12" i="15"/>
  <c r="Z14" i="15" s="1"/>
  <c r="AE12" i="15"/>
  <c r="AQ9" i="15"/>
  <c r="AP9" i="15"/>
  <c r="AO9" i="15"/>
  <c r="AN9" i="15"/>
  <c r="AM9" i="15"/>
  <c r="AL9" i="15"/>
  <c r="AK9" i="15"/>
  <c r="AP6" i="15"/>
  <c r="AO6" i="15"/>
  <c r="AM6" i="15"/>
  <c r="AL6" i="15"/>
  <c r="S7" i="15"/>
  <c r="S82" i="15" s="1"/>
  <c r="O7" i="15"/>
  <c r="AB6" i="15"/>
  <c r="AQ6" i="15" s="1"/>
  <c r="V7" i="15"/>
  <c r="AI78" i="15"/>
  <c r="AF78" i="15"/>
  <c r="AE78" i="15"/>
  <c r="AI77" i="15"/>
  <c r="AF77" i="15"/>
  <c r="AI74" i="15"/>
  <c r="AH74" i="15"/>
  <c r="AG74" i="15"/>
  <c r="AF74" i="15"/>
  <c r="AE74" i="15"/>
  <c r="AD74" i="15"/>
  <c r="AC74" i="15"/>
  <c r="Y74" i="15"/>
  <c r="X74" i="15"/>
  <c r="U74" i="15"/>
  <c r="T74" i="15"/>
  <c r="S74" i="15"/>
  <c r="R74" i="15"/>
  <c r="Q74" i="15"/>
  <c r="P74" i="15"/>
  <c r="N74" i="15"/>
  <c r="M74" i="15"/>
  <c r="L74" i="15"/>
  <c r="K74" i="15"/>
  <c r="H74" i="15"/>
  <c r="G74" i="15"/>
  <c r="D74" i="15"/>
  <c r="B74" i="15"/>
  <c r="F74" i="15"/>
  <c r="AB74" i="15"/>
  <c r="Z74" i="15"/>
  <c r="W74" i="15"/>
  <c r="O74" i="15"/>
  <c r="AJ68" i="15"/>
  <c r="AI68" i="15"/>
  <c r="AH68" i="15"/>
  <c r="AG68" i="15"/>
  <c r="AF68" i="15"/>
  <c r="AE68" i="15"/>
  <c r="AD68" i="15"/>
  <c r="AC68" i="15"/>
  <c r="Y68" i="15"/>
  <c r="U68" i="15"/>
  <c r="T68" i="15"/>
  <c r="S68" i="15"/>
  <c r="R68" i="15"/>
  <c r="Q68" i="15"/>
  <c r="P68" i="15"/>
  <c r="O68" i="15"/>
  <c r="M68" i="15"/>
  <c r="L68" i="15"/>
  <c r="K68" i="15"/>
  <c r="I68" i="15"/>
  <c r="H68" i="15"/>
  <c r="G68" i="15"/>
  <c r="F68" i="15"/>
  <c r="D68" i="15"/>
  <c r="X68" i="15"/>
  <c r="V68" i="15"/>
  <c r="N68" i="15"/>
  <c r="B68" i="15"/>
  <c r="AI62" i="15"/>
  <c r="AH62" i="15"/>
  <c r="AG62" i="15"/>
  <c r="AF62" i="15"/>
  <c r="AE62" i="15"/>
  <c r="AD62" i="15"/>
  <c r="AC62" i="15"/>
  <c r="X62" i="15"/>
  <c r="V62" i="15"/>
  <c r="R62" i="15"/>
  <c r="P62" i="15"/>
  <c r="M62" i="15"/>
  <c r="L62" i="15"/>
  <c r="K62" i="15"/>
  <c r="J62" i="15"/>
  <c r="H62" i="15"/>
  <c r="G62" i="15"/>
  <c r="F62" i="15"/>
  <c r="D62" i="15"/>
  <c r="Y62" i="15"/>
  <c r="U62" i="15"/>
  <c r="O62" i="15"/>
  <c r="AI56" i="15"/>
  <c r="AH56" i="15"/>
  <c r="AG56" i="15"/>
  <c r="AF56" i="15"/>
  <c r="AE56" i="15"/>
  <c r="AD56" i="15"/>
  <c r="X56" i="15"/>
  <c r="V56" i="15"/>
  <c r="T56" i="15"/>
  <c r="S56" i="15"/>
  <c r="R56" i="15"/>
  <c r="P56" i="15"/>
  <c r="M56" i="15"/>
  <c r="L56" i="15"/>
  <c r="K56" i="15"/>
  <c r="J56" i="15"/>
  <c r="H56" i="15"/>
  <c r="G56" i="15"/>
  <c r="AJ50" i="15"/>
  <c r="AI50" i="15"/>
  <c r="AH50" i="15"/>
  <c r="AG50" i="15"/>
  <c r="AF50" i="15"/>
  <c r="AE50" i="15"/>
  <c r="AD50" i="15"/>
  <c r="AC50" i="15"/>
  <c r="Y50" i="15"/>
  <c r="X50" i="15"/>
  <c r="V50" i="15"/>
  <c r="T50" i="15"/>
  <c r="R50" i="15"/>
  <c r="P50" i="15"/>
  <c r="M50" i="15"/>
  <c r="L50" i="15"/>
  <c r="K50" i="15"/>
  <c r="I50" i="15"/>
  <c r="H50" i="15"/>
  <c r="G50" i="15"/>
  <c r="F50" i="15"/>
  <c r="D50" i="15"/>
  <c r="AJ44" i="15"/>
  <c r="AI44" i="15"/>
  <c r="AH44" i="15"/>
  <c r="AG44" i="15"/>
  <c r="AF44" i="15"/>
  <c r="AE44" i="15"/>
  <c r="AD44" i="15"/>
  <c r="AC44" i="15"/>
  <c r="Z44" i="15"/>
  <c r="Y44" i="15"/>
  <c r="X44" i="15"/>
  <c r="W44" i="15"/>
  <c r="V44" i="15"/>
  <c r="T44" i="15"/>
  <c r="S44" i="15"/>
  <c r="R44" i="15"/>
  <c r="P44" i="15"/>
  <c r="M44" i="15"/>
  <c r="L44" i="15"/>
  <c r="K44" i="15"/>
  <c r="I44" i="15"/>
  <c r="H44" i="15"/>
  <c r="G44" i="15"/>
  <c r="F44" i="15"/>
  <c r="D44" i="15"/>
  <c r="O44" i="15"/>
  <c r="AJ38" i="15"/>
  <c r="AI38" i="15"/>
  <c r="AH38" i="15"/>
  <c r="AG38" i="15"/>
  <c r="AF38" i="15"/>
  <c r="AE38" i="15"/>
  <c r="Z38" i="15"/>
  <c r="Y38" i="15"/>
  <c r="W38" i="15"/>
  <c r="T38" i="15"/>
  <c r="S38" i="15"/>
  <c r="R38" i="15"/>
  <c r="P38" i="15"/>
  <c r="O38" i="15"/>
  <c r="N38" i="15"/>
  <c r="M38" i="15"/>
  <c r="L38" i="15"/>
  <c r="I38" i="15"/>
  <c r="H38" i="15"/>
  <c r="G38" i="15"/>
  <c r="F38" i="15"/>
  <c r="D38" i="15"/>
  <c r="B38" i="15"/>
  <c r="AC38" i="15"/>
  <c r="V38" i="15"/>
  <c r="K38" i="15"/>
  <c r="AJ32" i="15"/>
  <c r="AI32" i="15"/>
  <c r="AH32" i="15"/>
  <c r="AG32" i="15"/>
  <c r="AF32" i="15"/>
  <c r="AE32" i="15"/>
  <c r="AD32" i="15"/>
  <c r="AC32" i="15"/>
  <c r="Z32" i="15"/>
  <c r="Y32" i="15"/>
  <c r="X32" i="15"/>
  <c r="V32" i="15"/>
  <c r="T32" i="15"/>
  <c r="R32" i="15"/>
  <c r="Q32" i="15"/>
  <c r="P32" i="15"/>
  <c r="O32" i="15"/>
  <c r="M32" i="15"/>
  <c r="L32" i="15"/>
  <c r="K32" i="15"/>
  <c r="I32" i="15"/>
  <c r="H32" i="15"/>
  <c r="G32" i="15"/>
  <c r="F32" i="15"/>
  <c r="D32" i="15"/>
  <c r="B32" i="15"/>
  <c r="N32" i="15"/>
  <c r="AI26" i="15"/>
  <c r="AF26" i="15"/>
  <c r="X26" i="15"/>
  <c r="R26" i="15"/>
  <c r="AH26" i="15"/>
  <c r="AG26" i="15"/>
  <c r="AE26" i="15"/>
  <c r="AD26" i="15"/>
  <c r="Z26" i="15"/>
  <c r="Y26" i="15"/>
  <c r="S26" i="15"/>
  <c r="Q26" i="15"/>
  <c r="N26" i="15"/>
  <c r="M26" i="15"/>
  <c r="I26" i="15"/>
  <c r="H26" i="15"/>
  <c r="G26" i="15"/>
  <c r="D26" i="15"/>
  <c r="AJ20" i="15"/>
  <c r="AI20" i="15"/>
  <c r="AF20" i="15"/>
  <c r="AC20" i="15"/>
  <c r="X20" i="15"/>
  <c r="V20" i="15"/>
  <c r="S20" i="15"/>
  <c r="R20" i="15"/>
  <c r="Q20" i="15"/>
  <c r="P20" i="15"/>
  <c r="L20" i="15"/>
  <c r="I20" i="15"/>
  <c r="H20" i="15"/>
  <c r="G20" i="15"/>
  <c r="D20" i="15"/>
  <c r="AG20" i="15"/>
  <c r="Z20" i="15"/>
  <c r="Y20" i="15"/>
  <c r="U20" i="15"/>
  <c r="T20" i="15"/>
  <c r="M20" i="15"/>
  <c r="K20" i="15"/>
  <c r="AE20" i="15"/>
  <c r="N20" i="15"/>
  <c r="AI14" i="15"/>
  <c r="AH14" i="15"/>
  <c r="AF14" i="15"/>
  <c r="R14" i="15"/>
  <c r="Q14" i="15"/>
  <c r="AG14" i="15"/>
  <c r="AC77" i="15"/>
  <c r="S77" i="15"/>
  <c r="P14" i="15"/>
  <c r="N14" i="15"/>
  <c r="K14" i="15"/>
  <c r="I14" i="15"/>
  <c r="AJ8" i="15"/>
  <c r="AI8" i="15"/>
  <c r="AH8" i="15"/>
  <c r="AF8" i="15"/>
  <c r="AE8" i="15"/>
  <c r="AD8" i="15"/>
  <c r="X8" i="15"/>
  <c r="R8" i="15"/>
  <c r="Q8" i="15"/>
  <c r="M8" i="15"/>
  <c r="L8" i="15"/>
  <c r="I8" i="15"/>
  <c r="H8" i="15"/>
  <c r="G8" i="15"/>
  <c r="D8" i="15"/>
  <c r="AG8" i="15"/>
  <c r="Z8" i="15"/>
  <c r="Y8" i="15"/>
  <c r="T8" i="15"/>
  <c r="N8" i="15"/>
  <c r="P8" i="15"/>
  <c r="AO75" i="13"/>
  <c r="AN75" i="13"/>
  <c r="AM75" i="13"/>
  <c r="AL75" i="13"/>
  <c r="AK75" i="13"/>
  <c r="AJ75" i="13"/>
  <c r="AI75" i="13"/>
  <c r="AO73" i="13"/>
  <c r="AN73" i="13"/>
  <c r="AL73" i="13"/>
  <c r="AJ73" i="13"/>
  <c r="AN72" i="13"/>
  <c r="AJ72" i="13"/>
  <c r="V72" i="13"/>
  <c r="V74" i="13" s="1"/>
  <c r="N72" i="13"/>
  <c r="N74" i="13" s="1"/>
  <c r="V8" i="15"/>
  <c r="W14" i="15"/>
  <c r="K26" i="15"/>
  <c r="AC26" i="15"/>
  <c r="D14" i="15"/>
  <c r="Z78" i="15"/>
  <c r="B8" i="15"/>
  <c r="F8" i="15"/>
  <c r="K8" i="15"/>
  <c r="O8" i="15"/>
  <c r="U8" i="15"/>
  <c r="W8" i="15"/>
  <c r="AC8" i="15"/>
  <c r="T14" i="15"/>
  <c r="B14" i="15"/>
  <c r="B20" i="15"/>
  <c r="F20" i="15"/>
  <c r="O20" i="15"/>
  <c r="U32" i="15"/>
  <c r="Z62" i="15"/>
  <c r="W68" i="15"/>
  <c r="I74" i="15"/>
  <c r="T78" i="15"/>
  <c r="I62" i="15"/>
  <c r="Z68" i="15"/>
  <c r="AJ74" i="15"/>
  <c r="Y72" i="13"/>
  <c r="E73" i="13"/>
  <c r="AM73" i="13" s="1"/>
  <c r="Z72" i="13"/>
  <c r="AO72" i="13" s="1"/>
  <c r="X14" i="15"/>
  <c r="W62" i="15"/>
  <c r="AH72" i="13"/>
  <c r="AH78" i="13" s="1"/>
  <c r="H72" i="13"/>
  <c r="AO69" i="13"/>
  <c r="AN69" i="13"/>
  <c r="AM69" i="13"/>
  <c r="AL69" i="13"/>
  <c r="AK69" i="13"/>
  <c r="AJ69" i="13"/>
  <c r="AI69" i="13"/>
  <c r="AO66" i="13"/>
  <c r="AM66" i="13"/>
  <c r="AK66" i="13"/>
  <c r="AJ66" i="13"/>
  <c r="W67" i="13"/>
  <c r="W68" i="13" s="1"/>
  <c r="U67" i="13"/>
  <c r="B66" i="13"/>
  <c r="M67" i="13"/>
  <c r="V67" i="13"/>
  <c r="Y67" i="13"/>
  <c r="R61" i="12"/>
  <c r="AI63" i="13"/>
  <c r="AO63" i="13"/>
  <c r="AN63" i="13"/>
  <c r="AM63" i="13"/>
  <c r="AL63" i="13"/>
  <c r="AK63" i="13"/>
  <c r="AJ63" i="13"/>
  <c r="AO61" i="13"/>
  <c r="AN61" i="13"/>
  <c r="AK61" i="13"/>
  <c r="AJ61" i="13"/>
  <c r="AO60" i="13"/>
  <c r="N60" i="13"/>
  <c r="Y60" i="13"/>
  <c r="V60" i="13"/>
  <c r="B62" i="13"/>
  <c r="M62" i="13"/>
  <c r="T60" i="13"/>
  <c r="T62" i="13" s="1"/>
  <c r="H60" i="13"/>
  <c r="X60" i="13"/>
  <c r="O62" i="13"/>
  <c r="AJ60" i="13"/>
  <c r="R55" i="12"/>
  <c r="R56" i="12" s="1"/>
  <c r="AO57" i="13"/>
  <c r="AN57" i="13"/>
  <c r="AM57" i="13"/>
  <c r="AL57" i="13"/>
  <c r="AK57" i="13"/>
  <c r="AJ57" i="13"/>
  <c r="AI57" i="13"/>
  <c r="AO55" i="13"/>
  <c r="AM55" i="13"/>
  <c r="AL55" i="13"/>
  <c r="AK55" i="13"/>
  <c r="AO54" i="13"/>
  <c r="AN54" i="13"/>
  <c r="AM54" i="13"/>
  <c r="AL54" i="13"/>
  <c r="AK54" i="13"/>
  <c r="AJ54" i="13"/>
  <c r="AI54" i="13"/>
  <c r="L56" i="13"/>
  <c r="AO56" i="13"/>
  <c r="O56" i="13"/>
  <c r="AA55" i="13"/>
  <c r="AJ55" i="13" s="1"/>
  <c r="AO51" i="13"/>
  <c r="AN51" i="13"/>
  <c r="AM51" i="13"/>
  <c r="AL51" i="13"/>
  <c r="AK51" i="13"/>
  <c r="AJ51" i="13"/>
  <c r="AI51" i="13"/>
  <c r="AO49" i="13"/>
  <c r="AN49" i="13"/>
  <c r="AM49" i="13"/>
  <c r="AL49" i="13"/>
  <c r="AK49" i="13"/>
  <c r="AJ49" i="13"/>
  <c r="AI49" i="13"/>
  <c r="AO48" i="13"/>
  <c r="AN48" i="13"/>
  <c r="AM48" i="13"/>
  <c r="AL48" i="13"/>
  <c r="AK48" i="13"/>
  <c r="AJ48" i="13"/>
  <c r="AI48" i="13"/>
  <c r="O50" i="13"/>
  <c r="V50" i="13"/>
  <c r="B50" i="13"/>
  <c r="H50" i="13"/>
  <c r="AK43" i="13"/>
  <c r="AO45" i="13"/>
  <c r="AN45" i="13"/>
  <c r="AM45" i="13"/>
  <c r="AL45" i="13"/>
  <c r="AK45" i="13"/>
  <c r="AJ45" i="13"/>
  <c r="AI45" i="13"/>
  <c r="AO43" i="13"/>
  <c r="AN43" i="13"/>
  <c r="AM43" i="13"/>
  <c r="AL43" i="13"/>
  <c r="AJ43" i="13"/>
  <c r="AI43" i="13"/>
  <c r="AO42" i="13"/>
  <c r="AL42" i="13"/>
  <c r="B44" i="13"/>
  <c r="O44" i="13"/>
  <c r="T42" i="13"/>
  <c r="AN42" i="13" s="1"/>
  <c r="AL44" i="13"/>
  <c r="N42" i="13"/>
  <c r="N44" i="13" s="1"/>
  <c r="AO39" i="13"/>
  <c r="AN39" i="13"/>
  <c r="AM39" i="13"/>
  <c r="AL39" i="13"/>
  <c r="AK39" i="13"/>
  <c r="AJ39" i="13"/>
  <c r="AI39" i="13"/>
  <c r="AO36" i="13"/>
  <c r="AN36" i="13"/>
  <c r="AM36" i="13"/>
  <c r="AL36" i="13"/>
  <c r="AK36" i="13"/>
  <c r="AJ36" i="13"/>
  <c r="AI36" i="13"/>
  <c r="O38" i="13"/>
  <c r="B6" i="13"/>
  <c r="O6" i="13"/>
  <c r="AJ6" i="13"/>
  <c r="AK6" i="13"/>
  <c r="AM6" i="13"/>
  <c r="AO6" i="13"/>
  <c r="E7" i="13"/>
  <c r="J7" i="13"/>
  <c r="J8" i="13" s="1"/>
  <c r="M7" i="13"/>
  <c r="M8" i="13" s="1"/>
  <c r="N7" i="13"/>
  <c r="S7" i="13"/>
  <c r="T7" i="13"/>
  <c r="V7" i="13"/>
  <c r="X7" i="13"/>
  <c r="Y7" i="13"/>
  <c r="Y8" i="13" s="1"/>
  <c r="AA7" i="13"/>
  <c r="AA8" i="13" s="1"/>
  <c r="AE7" i="13"/>
  <c r="AE8" i="13" s="1"/>
  <c r="AO7" i="13"/>
  <c r="C8" i="13"/>
  <c r="F8" i="13"/>
  <c r="G8" i="13"/>
  <c r="H8" i="13"/>
  <c r="K8" i="13"/>
  <c r="L8" i="13"/>
  <c r="P8" i="13"/>
  <c r="Q8" i="13"/>
  <c r="R8" i="13"/>
  <c r="U8" i="13"/>
  <c r="W8" i="13"/>
  <c r="AB8" i="13"/>
  <c r="AC8" i="13"/>
  <c r="AD8" i="13"/>
  <c r="AF8" i="13"/>
  <c r="AG8" i="13"/>
  <c r="AH8" i="13"/>
  <c r="AI9" i="13"/>
  <c r="AJ9" i="13"/>
  <c r="AK9" i="13"/>
  <c r="AL9" i="13"/>
  <c r="AM9" i="13"/>
  <c r="AN9" i="13"/>
  <c r="AO9" i="13"/>
  <c r="B12" i="13"/>
  <c r="B14" i="13" s="1"/>
  <c r="C12" i="13"/>
  <c r="E12" i="13"/>
  <c r="F12" i="13"/>
  <c r="G12" i="13"/>
  <c r="H12" i="13"/>
  <c r="H14" i="13" s="1"/>
  <c r="J12" i="13"/>
  <c r="J13" i="13" s="1"/>
  <c r="K12" i="13"/>
  <c r="K14" i="13" s="1"/>
  <c r="L12" i="13"/>
  <c r="M12" i="13"/>
  <c r="M14" i="13" s="1"/>
  <c r="N12" i="13"/>
  <c r="O12" i="13"/>
  <c r="O14" i="13" s="1"/>
  <c r="S12" i="13"/>
  <c r="T12" i="13"/>
  <c r="T14" i="13" s="1"/>
  <c r="U12" i="13"/>
  <c r="V12" i="13"/>
  <c r="V13" i="13" s="1"/>
  <c r="V14" i="13" s="1"/>
  <c r="W12" i="13"/>
  <c r="X12" i="13"/>
  <c r="Y12" i="13"/>
  <c r="AA12" i="13"/>
  <c r="AA14" i="13" s="1"/>
  <c r="AB12" i="13"/>
  <c r="AC12" i="13"/>
  <c r="AE12" i="13"/>
  <c r="AE13" i="13" s="1"/>
  <c r="AE14" i="13" s="1"/>
  <c r="AH12" i="13"/>
  <c r="AH14" i="13" s="1"/>
  <c r="L13" i="13"/>
  <c r="L14" i="13" s="1"/>
  <c r="X13" i="13"/>
  <c r="X14" i="13" s="1"/>
  <c r="AO13" i="13"/>
  <c r="P14" i="13"/>
  <c r="Q14" i="13"/>
  <c r="AD14" i="13"/>
  <c r="AF14" i="13"/>
  <c r="AG14" i="13"/>
  <c r="AI15" i="13"/>
  <c r="AJ15" i="13"/>
  <c r="AK15" i="13"/>
  <c r="AL15" i="13"/>
  <c r="AM15" i="13"/>
  <c r="AN15" i="13"/>
  <c r="AO15" i="13"/>
  <c r="B18" i="13"/>
  <c r="B20" i="13" s="1"/>
  <c r="M18" i="13"/>
  <c r="M19" i="13" s="1"/>
  <c r="M20" i="13" s="1"/>
  <c r="AC18" i="13"/>
  <c r="AJ18" i="13"/>
  <c r="AK18" i="13"/>
  <c r="AM18" i="13"/>
  <c r="AO18" i="13"/>
  <c r="E19" i="13"/>
  <c r="J19" i="13"/>
  <c r="L19" i="13"/>
  <c r="N19" i="13"/>
  <c r="S19" i="13"/>
  <c r="T19" i="13"/>
  <c r="AJ19" i="13" s="1"/>
  <c r="V19" i="13"/>
  <c r="V20" i="13" s="1"/>
  <c r="X19" i="13"/>
  <c r="Y19" i="13"/>
  <c r="Y20" i="13" s="1"/>
  <c r="AE19" i="13"/>
  <c r="AO19" i="13"/>
  <c r="C20" i="13"/>
  <c r="F20" i="13"/>
  <c r="G20" i="13"/>
  <c r="H20" i="13"/>
  <c r="K20" i="13"/>
  <c r="O20" i="13"/>
  <c r="P20" i="13"/>
  <c r="Q20" i="13"/>
  <c r="R20" i="13"/>
  <c r="U20" i="13"/>
  <c r="W20" i="13"/>
  <c r="AA20" i="13"/>
  <c r="AB20" i="13"/>
  <c r="AD20" i="13"/>
  <c r="AF20" i="13"/>
  <c r="AG20" i="13"/>
  <c r="AH20" i="13"/>
  <c r="AI21" i="13"/>
  <c r="AJ21" i="13"/>
  <c r="AK21" i="13"/>
  <c r="AL21" i="13"/>
  <c r="AM21" i="13"/>
  <c r="AN21" i="13"/>
  <c r="AO21" i="13"/>
  <c r="B24" i="13"/>
  <c r="C24" i="13"/>
  <c r="E24" i="13"/>
  <c r="F24" i="13"/>
  <c r="F26" i="13" s="1"/>
  <c r="G24" i="13"/>
  <c r="G26" i="13" s="1"/>
  <c r="H24" i="13"/>
  <c r="H26" i="13" s="1"/>
  <c r="J24" i="13"/>
  <c r="J25" i="13" s="1"/>
  <c r="K24" i="13"/>
  <c r="K26" i="13" s="1"/>
  <c r="L24" i="13"/>
  <c r="L26" i="13" s="1"/>
  <c r="M24" i="13"/>
  <c r="M25" i="13" s="1"/>
  <c r="N24" i="13"/>
  <c r="O24" i="13"/>
  <c r="O25" i="13" s="1"/>
  <c r="O26" i="13" s="1"/>
  <c r="P24" i="13"/>
  <c r="P26" i="13" s="1"/>
  <c r="R24" i="13"/>
  <c r="R26" i="13" s="1"/>
  <c r="S24" i="13"/>
  <c r="S26" i="13" s="1"/>
  <c r="T24" i="13"/>
  <c r="T25" i="13" s="1"/>
  <c r="T26" i="13" s="1"/>
  <c r="U24" i="13"/>
  <c r="U25" i="13" s="1"/>
  <c r="V24" i="13"/>
  <c r="X24" i="13"/>
  <c r="X26" i="13" s="1"/>
  <c r="Y24" i="13"/>
  <c r="AA24" i="13"/>
  <c r="AB24" i="13"/>
  <c r="AB26" i="13" s="1"/>
  <c r="AC24" i="13"/>
  <c r="AE24" i="13"/>
  <c r="AE25" i="13" s="1"/>
  <c r="AE26" i="13" s="1"/>
  <c r="AF24" i="13"/>
  <c r="AF26" i="13" s="1"/>
  <c r="V25" i="13"/>
  <c r="B26" i="13"/>
  <c r="Q26" i="13"/>
  <c r="W26" i="13"/>
  <c r="AD26" i="13"/>
  <c r="AG26" i="13"/>
  <c r="AH26" i="13"/>
  <c r="AI27" i="13"/>
  <c r="AJ27" i="13"/>
  <c r="AK27" i="13"/>
  <c r="AL27" i="13"/>
  <c r="AM27" i="13"/>
  <c r="AN27" i="13"/>
  <c r="AO27" i="13"/>
  <c r="T30" i="13"/>
  <c r="AK30" i="13"/>
  <c r="AL30" i="13"/>
  <c r="AM30" i="13"/>
  <c r="AO30" i="13"/>
  <c r="AO32" i="13" s="1"/>
  <c r="M31" i="13"/>
  <c r="M32" i="13" s="1"/>
  <c r="AJ31" i="13"/>
  <c r="AK31" i="13"/>
  <c r="AM31" i="13"/>
  <c r="AO31" i="13"/>
  <c r="B32" i="13"/>
  <c r="C32" i="13"/>
  <c r="E32" i="13"/>
  <c r="F32" i="13"/>
  <c r="G32" i="13"/>
  <c r="H32" i="13"/>
  <c r="J32" i="13"/>
  <c r="K32" i="13"/>
  <c r="L32" i="13"/>
  <c r="N32" i="13"/>
  <c r="O32" i="13"/>
  <c r="P32" i="13"/>
  <c r="Q32" i="13"/>
  <c r="R32" i="13"/>
  <c r="S32" i="13"/>
  <c r="U32" i="13"/>
  <c r="V32" i="13"/>
  <c r="W32" i="13"/>
  <c r="X32" i="13"/>
  <c r="Y32" i="13"/>
  <c r="AA32" i="13"/>
  <c r="AB32" i="13"/>
  <c r="AC32" i="13"/>
  <c r="AD32" i="13"/>
  <c r="AE32" i="13"/>
  <c r="AF32" i="13"/>
  <c r="AG32" i="13"/>
  <c r="AH32" i="13"/>
  <c r="AI33" i="13"/>
  <c r="AJ33" i="13"/>
  <c r="AK33" i="13"/>
  <c r="AL33" i="13"/>
  <c r="AM33" i="13"/>
  <c r="AN33" i="13"/>
  <c r="AO33" i="13"/>
  <c r="E37" i="13"/>
  <c r="E38" i="13" s="1"/>
  <c r="J37" i="13"/>
  <c r="L37" i="13"/>
  <c r="L38" i="13" s="1"/>
  <c r="U37" i="13"/>
  <c r="AO37" i="13" s="1"/>
  <c r="AO38" i="13" s="1"/>
  <c r="V37" i="13"/>
  <c r="AA37" i="13"/>
  <c r="B38" i="13"/>
  <c r="C38" i="13"/>
  <c r="G38" i="13"/>
  <c r="H38" i="13"/>
  <c r="K38" i="13"/>
  <c r="M38" i="13"/>
  <c r="N38" i="13"/>
  <c r="Q38" i="13"/>
  <c r="R38" i="13"/>
  <c r="S38" i="13"/>
  <c r="W38" i="13"/>
  <c r="X38" i="13"/>
  <c r="Y38" i="13"/>
  <c r="AB38" i="13"/>
  <c r="AC38" i="13"/>
  <c r="AD38" i="13"/>
  <c r="AE38" i="13"/>
  <c r="AF38" i="13"/>
  <c r="AG38" i="13"/>
  <c r="AH38" i="13"/>
  <c r="C44" i="13"/>
  <c r="F44" i="13"/>
  <c r="G44" i="13"/>
  <c r="H44" i="13"/>
  <c r="J44" i="13"/>
  <c r="K44" i="13"/>
  <c r="L44" i="13"/>
  <c r="Q44" i="13"/>
  <c r="R44" i="13"/>
  <c r="S44" i="13"/>
  <c r="U44" i="13"/>
  <c r="V44" i="13"/>
  <c r="W44" i="13"/>
  <c r="X44" i="13"/>
  <c r="Y44" i="13"/>
  <c r="AA44" i="13"/>
  <c r="AB44" i="13"/>
  <c r="AC44" i="13"/>
  <c r="AD44" i="13"/>
  <c r="AE44" i="13"/>
  <c r="AF44" i="13"/>
  <c r="AG44" i="13"/>
  <c r="AH44" i="13"/>
  <c r="C50" i="13"/>
  <c r="E50" i="13"/>
  <c r="F50" i="13"/>
  <c r="G50" i="13"/>
  <c r="J50" i="13"/>
  <c r="K50" i="13"/>
  <c r="L50" i="13"/>
  <c r="Q50" i="13"/>
  <c r="R50" i="13"/>
  <c r="T50" i="13"/>
  <c r="U50" i="13"/>
  <c r="W50" i="13"/>
  <c r="X50" i="13"/>
  <c r="AA50" i="13"/>
  <c r="AB50" i="13"/>
  <c r="AC50" i="13"/>
  <c r="AD50" i="13"/>
  <c r="AE50" i="13"/>
  <c r="AF50" i="13"/>
  <c r="AG50" i="13"/>
  <c r="AH50" i="13"/>
  <c r="C56" i="13"/>
  <c r="E56" i="13"/>
  <c r="F56" i="13"/>
  <c r="G56" i="13"/>
  <c r="I56" i="13"/>
  <c r="J56" i="13"/>
  <c r="K56" i="13"/>
  <c r="Q56" i="13"/>
  <c r="R56" i="13"/>
  <c r="S56" i="13"/>
  <c r="T56" i="13"/>
  <c r="U56" i="13"/>
  <c r="W56" i="13"/>
  <c r="AA56" i="13"/>
  <c r="AB56" i="13"/>
  <c r="AC56" i="13"/>
  <c r="AD56" i="13"/>
  <c r="AE56" i="13"/>
  <c r="AF56" i="13"/>
  <c r="AG56" i="13"/>
  <c r="C62" i="13"/>
  <c r="E62" i="13"/>
  <c r="F62" i="13"/>
  <c r="G62" i="13"/>
  <c r="I62" i="13"/>
  <c r="J62" i="13"/>
  <c r="K62" i="13"/>
  <c r="L62" i="13"/>
  <c r="N62" i="13"/>
  <c r="Q62" i="13"/>
  <c r="S62" i="13"/>
  <c r="U62" i="13"/>
  <c r="W62" i="13"/>
  <c r="AA62" i="13"/>
  <c r="AB62" i="13"/>
  <c r="AC62" i="13"/>
  <c r="AD62" i="13"/>
  <c r="AE62" i="13"/>
  <c r="AF62" i="13"/>
  <c r="AG62" i="13"/>
  <c r="C68" i="13"/>
  <c r="E68" i="13"/>
  <c r="F68" i="13"/>
  <c r="G68" i="13"/>
  <c r="H68" i="13"/>
  <c r="J68" i="13"/>
  <c r="K68" i="13"/>
  <c r="L68" i="13"/>
  <c r="M68" i="13"/>
  <c r="N68" i="13"/>
  <c r="O68" i="13"/>
  <c r="P68" i="13"/>
  <c r="Q68" i="13"/>
  <c r="R68" i="13"/>
  <c r="S68" i="13"/>
  <c r="T68" i="13"/>
  <c r="V68" i="13"/>
  <c r="X68" i="13"/>
  <c r="AA68" i="13"/>
  <c r="AB68" i="13"/>
  <c r="AC68" i="13"/>
  <c r="AD68" i="13"/>
  <c r="AE68" i="13"/>
  <c r="AF68" i="13"/>
  <c r="AG68" i="13"/>
  <c r="AH68" i="13"/>
  <c r="B74" i="13"/>
  <c r="C74" i="13"/>
  <c r="F74" i="13"/>
  <c r="G74" i="13"/>
  <c r="J74" i="13"/>
  <c r="K74" i="13"/>
  <c r="L74" i="13"/>
  <c r="M74" i="13"/>
  <c r="O74" i="13"/>
  <c r="P74" i="13"/>
  <c r="Q74" i="13"/>
  <c r="R74" i="13"/>
  <c r="S74" i="13"/>
  <c r="T74" i="13"/>
  <c r="U74" i="13"/>
  <c r="W74" i="13"/>
  <c r="X74" i="13"/>
  <c r="Y74" i="13"/>
  <c r="AA74" i="13"/>
  <c r="AB74" i="13"/>
  <c r="AC74" i="13"/>
  <c r="AD74" i="13"/>
  <c r="AE74" i="13"/>
  <c r="AF74" i="13"/>
  <c r="AG74" i="13"/>
  <c r="Q77" i="13"/>
  <c r="AD77" i="13"/>
  <c r="AG77" i="13"/>
  <c r="AH77" i="13"/>
  <c r="Q78" i="13"/>
  <c r="R78" i="13"/>
  <c r="AB78" i="13"/>
  <c r="AC78" i="13"/>
  <c r="AD78" i="13"/>
  <c r="AG78" i="13"/>
  <c r="AG79" i="13" s="1"/>
  <c r="B6" i="12"/>
  <c r="B8" i="12" s="1"/>
  <c r="AC6" i="12"/>
  <c r="AC8" i="12" s="1"/>
  <c r="AJ6" i="12"/>
  <c r="AK6" i="12"/>
  <c r="AM6" i="12"/>
  <c r="AO6" i="12"/>
  <c r="E7" i="12"/>
  <c r="E8" i="12" s="1"/>
  <c r="H7" i="12"/>
  <c r="H8" i="12" s="1"/>
  <c r="J7" i="12"/>
  <c r="S7" i="12"/>
  <c r="T7" i="12"/>
  <c r="T8" i="12" s="1"/>
  <c r="U7" i="12"/>
  <c r="AO7" i="12" s="1"/>
  <c r="V7" i="12"/>
  <c r="V8" i="12" s="1"/>
  <c r="X7" i="12"/>
  <c r="X8" i="12" s="1"/>
  <c r="AB7" i="12"/>
  <c r="AB8" i="12" s="1"/>
  <c r="AH7" i="12"/>
  <c r="AH8" i="12" s="1"/>
  <c r="C8" i="12"/>
  <c r="F8" i="12"/>
  <c r="G8" i="12"/>
  <c r="K8" i="12"/>
  <c r="L8" i="12"/>
  <c r="M8" i="12"/>
  <c r="N8" i="12"/>
  <c r="P8" i="12"/>
  <c r="Q8" i="12"/>
  <c r="R8" i="12"/>
  <c r="W8" i="12"/>
  <c r="Y8" i="12"/>
  <c r="AA8" i="12"/>
  <c r="AD8" i="12"/>
  <c r="AE8" i="12"/>
  <c r="AF8" i="12"/>
  <c r="AG8" i="12"/>
  <c r="AI9" i="12"/>
  <c r="AJ9" i="12"/>
  <c r="AK9" i="12"/>
  <c r="AL9" i="12"/>
  <c r="AM9" i="12"/>
  <c r="AN9" i="12"/>
  <c r="AO9" i="12"/>
  <c r="B12" i="12"/>
  <c r="B14" i="12" s="1"/>
  <c r="C12" i="12"/>
  <c r="E12" i="12"/>
  <c r="F12" i="12"/>
  <c r="F14" i="12" s="1"/>
  <c r="G12" i="12"/>
  <c r="G14" i="12" s="1"/>
  <c r="H12" i="12"/>
  <c r="J12" i="12"/>
  <c r="J13" i="12" s="1"/>
  <c r="K12" i="12"/>
  <c r="K14" i="12" s="1"/>
  <c r="L12" i="12"/>
  <c r="L14" i="12" s="1"/>
  <c r="R12" i="12"/>
  <c r="R14" i="12" s="1"/>
  <c r="S12" i="12"/>
  <c r="T12" i="12"/>
  <c r="T13" i="12" s="1"/>
  <c r="U12" i="12"/>
  <c r="W12" i="12"/>
  <c r="W77" i="12" s="1"/>
  <c r="X12" i="12"/>
  <c r="X13" i="12" s="1"/>
  <c r="Y12" i="12"/>
  <c r="Y14" i="12" s="1"/>
  <c r="AA12" i="12"/>
  <c r="AA14" i="12" s="1"/>
  <c r="AB12" i="12"/>
  <c r="AC12" i="12"/>
  <c r="AC14" i="12" s="1"/>
  <c r="AH12" i="12"/>
  <c r="AH13" i="12" s="1"/>
  <c r="AH14" i="12" s="1"/>
  <c r="V13" i="12"/>
  <c r="V14" i="12" s="1"/>
  <c r="W13" i="12"/>
  <c r="W78" i="12" s="1"/>
  <c r="M14" i="12"/>
  <c r="N14" i="12"/>
  <c r="P14" i="12"/>
  <c r="Q14" i="12"/>
  <c r="AD14" i="12"/>
  <c r="AE14" i="12"/>
  <c r="AF14" i="12"/>
  <c r="AG14" i="12"/>
  <c r="AI15" i="12"/>
  <c r="AJ15" i="12"/>
  <c r="AK15" i="12"/>
  <c r="AL15" i="12"/>
  <c r="AM15" i="12"/>
  <c r="AN15" i="12"/>
  <c r="AO15" i="12"/>
  <c r="AC18" i="12"/>
  <c r="AJ18" i="12"/>
  <c r="AK18" i="12"/>
  <c r="AM18" i="12"/>
  <c r="AN18" i="12"/>
  <c r="AO18" i="12"/>
  <c r="C19" i="12"/>
  <c r="E19" i="12"/>
  <c r="H19" i="12"/>
  <c r="J19" i="12"/>
  <c r="J20" i="12" s="1"/>
  <c r="L19" i="12"/>
  <c r="R19" i="12"/>
  <c r="S19" i="12"/>
  <c r="T19" i="12"/>
  <c r="T20" i="12" s="1"/>
  <c r="U19" i="12"/>
  <c r="AO19" i="12" s="1"/>
  <c r="V19" i="12"/>
  <c r="V20" i="12" s="1"/>
  <c r="X19" i="12"/>
  <c r="X20" i="12" s="1"/>
  <c r="AA19" i="12"/>
  <c r="AE19" i="12"/>
  <c r="AE20" i="12" s="1"/>
  <c r="B20" i="12"/>
  <c r="F20" i="12"/>
  <c r="G20" i="12"/>
  <c r="K20" i="12"/>
  <c r="M20" i="12"/>
  <c r="N20" i="12"/>
  <c r="P20" i="12"/>
  <c r="Q20" i="12"/>
  <c r="W20" i="12"/>
  <c r="Y20" i="12"/>
  <c r="AB20" i="12"/>
  <c r="AD20" i="12"/>
  <c r="AF20" i="12"/>
  <c r="AG20" i="12"/>
  <c r="AH20" i="12"/>
  <c r="AI21" i="12"/>
  <c r="AJ21" i="12"/>
  <c r="AK21" i="12"/>
  <c r="AL21" i="12"/>
  <c r="AM21" i="12"/>
  <c r="AN21" i="12"/>
  <c r="AO21" i="12"/>
  <c r="B24" i="12"/>
  <c r="B25" i="12" s="1"/>
  <c r="B26" i="12" s="1"/>
  <c r="C24" i="12"/>
  <c r="E24" i="12"/>
  <c r="F24" i="12"/>
  <c r="F26" i="12" s="1"/>
  <c r="G24" i="12"/>
  <c r="G26" i="12" s="1"/>
  <c r="H24" i="12"/>
  <c r="J24" i="12"/>
  <c r="J25" i="12" s="1"/>
  <c r="J26" i="12" s="1"/>
  <c r="K24" i="12"/>
  <c r="L24" i="12"/>
  <c r="L26" i="12" s="1"/>
  <c r="M24" i="12"/>
  <c r="M25" i="12" s="1"/>
  <c r="M26" i="12" s="1"/>
  <c r="R24" i="12"/>
  <c r="R25" i="12" s="1"/>
  <c r="S24" i="12"/>
  <c r="T24" i="12"/>
  <c r="T25" i="12" s="1"/>
  <c r="T26" i="12" s="1"/>
  <c r="U24" i="12"/>
  <c r="U26" i="12" s="1"/>
  <c r="X24" i="12"/>
  <c r="X25" i="12" s="1"/>
  <c r="X26" i="12" s="1"/>
  <c r="AA24" i="12"/>
  <c r="AB24" i="12"/>
  <c r="AC24" i="12"/>
  <c r="AH24" i="12"/>
  <c r="V25" i="12"/>
  <c r="V26" i="12" s="1"/>
  <c r="AO25" i="12"/>
  <c r="N26" i="12"/>
  <c r="P26" i="12"/>
  <c r="Q26" i="12"/>
  <c r="W26" i="12"/>
  <c r="Y26" i="12"/>
  <c r="AD26" i="12"/>
  <c r="AE26" i="12"/>
  <c r="AF26" i="12"/>
  <c r="AG26" i="12"/>
  <c r="AI27" i="12"/>
  <c r="AJ27" i="12"/>
  <c r="AK27" i="12"/>
  <c r="AL27" i="12"/>
  <c r="AM27" i="12"/>
  <c r="AN27" i="12"/>
  <c r="AO27" i="12"/>
  <c r="M30" i="12"/>
  <c r="AC30" i="12"/>
  <c r="AJ30" i="12"/>
  <c r="AK30" i="12"/>
  <c r="AM30" i="12"/>
  <c r="AO30" i="12"/>
  <c r="E31" i="12"/>
  <c r="H31" i="12"/>
  <c r="J31" i="12"/>
  <c r="M31" i="12"/>
  <c r="R31" i="12"/>
  <c r="R32" i="12" s="1"/>
  <c r="S31" i="12"/>
  <c r="S32" i="12" s="1"/>
  <c r="T31" i="12"/>
  <c r="T32" i="12" s="1"/>
  <c r="U31" i="12"/>
  <c r="U32" i="12" s="1"/>
  <c r="V31" i="12"/>
  <c r="X31" i="12"/>
  <c r="X32" i="12" s="1"/>
  <c r="B32" i="12"/>
  <c r="C32" i="12"/>
  <c r="F32" i="12"/>
  <c r="G32" i="12"/>
  <c r="K32" i="12"/>
  <c r="L32" i="12"/>
  <c r="N32" i="12"/>
  <c r="P32" i="12"/>
  <c r="Q32" i="12"/>
  <c r="W32" i="12"/>
  <c r="Y32" i="12"/>
  <c r="AA32" i="12"/>
  <c r="AB32" i="12"/>
  <c r="AD32" i="12"/>
  <c r="AE32" i="12"/>
  <c r="AF32" i="12"/>
  <c r="AG32" i="12"/>
  <c r="AH32" i="12"/>
  <c r="AI33" i="12"/>
  <c r="AJ33" i="12"/>
  <c r="AK33" i="12"/>
  <c r="AL33" i="12"/>
  <c r="AM33" i="12"/>
  <c r="AN33" i="12"/>
  <c r="AO33" i="12"/>
  <c r="AI36" i="12"/>
  <c r="AJ36" i="12"/>
  <c r="AK36" i="12"/>
  <c r="AL36" i="12"/>
  <c r="AM36" i="12"/>
  <c r="AN36" i="12"/>
  <c r="AO36" i="12"/>
  <c r="B37" i="12"/>
  <c r="B38" i="12" s="1"/>
  <c r="C37" i="12"/>
  <c r="J37" i="12"/>
  <c r="R37" i="12"/>
  <c r="R38" i="12" s="1"/>
  <c r="S37" i="12"/>
  <c r="S38" i="12" s="1"/>
  <c r="U37" i="12"/>
  <c r="V37" i="12"/>
  <c r="X37" i="12"/>
  <c r="X38" i="12" s="1"/>
  <c r="Y37" i="12"/>
  <c r="Y38" i="12" s="1"/>
  <c r="AA37" i="12"/>
  <c r="E38" i="12"/>
  <c r="F38" i="12"/>
  <c r="G38" i="12"/>
  <c r="H38" i="12"/>
  <c r="K38" i="12"/>
  <c r="L38" i="12"/>
  <c r="M38" i="12"/>
  <c r="N38" i="12"/>
  <c r="Q38" i="12"/>
  <c r="W38" i="12"/>
  <c r="AB38" i="12"/>
  <c r="AC38" i="12"/>
  <c r="AD38" i="12"/>
  <c r="AE38" i="12"/>
  <c r="AF38" i="12"/>
  <c r="AG38" i="12"/>
  <c r="AH38" i="12"/>
  <c r="AI39" i="12"/>
  <c r="AJ39" i="12"/>
  <c r="AK39" i="12"/>
  <c r="AL39" i="12"/>
  <c r="AM39" i="12"/>
  <c r="AN39" i="12"/>
  <c r="AO39" i="12"/>
  <c r="Y42" i="12"/>
  <c r="Y44" i="12" s="1"/>
  <c r="AJ42" i="12"/>
  <c r="AL42" i="12"/>
  <c r="AN42" i="12"/>
  <c r="AO42" i="12"/>
  <c r="C43" i="12"/>
  <c r="C44" i="12" s="1"/>
  <c r="E43" i="12"/>
  <c r="E44" i="12" s="1"/>
  <c r="H43" i="12"/>
  <c r="H44" i="12" s="1"/>
  <c r="J43" i="12"/>
  <c r="L43" i="12"/>
  <c r="L44" i="12" s="1"/>
  <c r="R43" i="12"/>
  <c r="R44" i="12" s="1"/>
  <c r="S43" i="12"/>
  <c r="S44" i="12" s="1"/>
  <c r="T43" i="12"/>
  <c r="U43" i="12"/>
  <c r="AO43" i="12" s="1"/>
  <c r="V43" i="12"/>
  <c r="AM43" i="12" s="1"/>
  <c r="X43" i="12"/>
  <c r="X44" i="12" s="1"/>
  <c r="AE43" i="12"/>
  <c r="F44" i="12"/>
  <c r="G44" i="12"/>
  <c r="K44" i="12"/>
  <c r="N44" i="12"/>
  <c r="Q44" i="12"/>
  <c r="W44" i="12"/>
  <c r="AA44" i="12"/>
  <c r="AB44" i="12"/>
  <c r="AC44" i="12"/>
  <c r="AD44" i="12"/>
  <c r="AF44" i="12"/>
  <c r="AG44" i="12"/>
  <c r="AH44" i="12"/>
  <c r="AI45" i="12"/>
  <c r="AJ45" i="12"/>
  <c r="AK45" i="12"/>
  <c r="AL45" i="12"/>
  <c r="AM45" i="12"/>
  <c r="AN45" i="12"/>
  <c r="AO45" i="12"/>
  <c r="Y48" i="12"/>
  <c r="AJ48" i="12"/>
  <c r="AL48" i="12"/>
  <c r="AN48" i="12"/>
  <c r="AO48" i="12"/>
  <c r="E49" i="12"/>
  <c r="J49" i="12"/>
  <c r="L49" i="12"/>
  <c r="L50" i="12" s="1"/>
  <c r="R49" i="12"/>
  <c r="R50" i="12" s="1"/>
  <c r="T49" i="12"/>
  <c r="T50" i="12" s="1"/>
  <c r="X49" i="12"/>
  <c r="AB49" i="12"/>
  <c r="AE49" i="12"/>
  <c r="AE50" i="12" s="1"/>
  <c r="AM49" i="12"/>
  <c r="AO49" i="12"/>
  <c r="C50" i="12"/>
  <c r="F50" i="12"/>
  <c r="G50" i="12"/>
  <c r="K50" i="12"/>
  <c r="Q50" i="12"/>
  <c r="S50" i="12"/>
  <c r="U50" i="12"/>
  <c r="W50" i="12"/>
  <c r="AA50" i="12"/>
  <c r="AC50" i="12"/>
  <c r="AD50" i="12"/>
  <c r="AF50" i="12"/>
  <c r="AG50" i="12"/>
  <c r="AH50" i="12"/>
  <c r="AI51" i="12"/>
  <c r="AJ51" i="12"/>
  <c r="AK51" i="12"/>
  <c r="AL51" i="12"/>
  <c r="AM51" i="12"/>
  <c r="AN51" i="12"/>
  <c r="AO51" i="12"/>
  <c r="E54" i="12"/>
  <c r="I54" i="12"/>
  <c r="J54" i="12"/>
  <c r="T54" i="12"/>
  <c r="T55" i="12" s="1"/>
  <c r="AE54" i="12"/>
  <c r="AO54" i="12"/>
  <c r="C55" i="12"/>
  <c r="F55" i="12"/>
  <c r="U55" i="12"/>
  <c r="U56" i="12" s="1"/>
  <c r="AM55" i="12"/>
  <c r="G56" i="12"/>
  <c r="K56" i="12"/>
  <c r="Q56" i="12"/>
  <c r="S56" i="12"/>
  <c r="W56" i="12"/>
  <c r="X56" i="12"/>
  <c r="AA56" i="12"/>
  <c r="AB56" i="12"/>
  <c r="AC56" i="12"/>
  <c r="AD56" i="12"/>
  <c r="AF56" i="12"/>
  <c r="AG56" i="12"/>
  <c r="AI57" i="12"/>
  <c r="AJ57" i="12"/>
  <c r="AK57" i="12"/>
  <c r="AL57" i="12"/>
  <c r="AM57" i="12"/>
  <c r="AN57" i="12"/>
  <c r="AO57" i="12"/>
  <c r="H60" i="12"/>
  <c r="V60" i="12"/>
  <c r="AL60" i="12" s="1"/>
  <c r="AE60" i="12"/>
  <c r="AJ60" i="12"/>
  <c r="AO60" i="12"/>
  <c r="C61" i="12"/>
  <c r="E61" i="12"/>
  <c r="E62" i="12" s="1"/>
  <c r="G61" i="12"/>
  <c r="G78" i="12" s="1"/>
  <c r="J61" i="12"/>
  <c r="J62" i="12" s="1"/>
  <c r="T61" i="12"/>
  <c r="U61" i="12"/>
  <c r="F62" i="12"/>
  <c r="G62" i="12"/>
  <c r="I62" i="12"/>
  <c r="K62" i="12"/>
  <c r="L62" i="12"/>
  <c r="N62" i="12"/>
  <c r="Q62" i="12"/>
  <c r="S62" i="12"/>
  <c r="W62" i="12"/>
  <c r="X62" i="12"/>
  <c r="Y62" i="12"/>
  <c r="AA62" i="12"/>
  <c r="AB62" i="12"/>
  <c r="AC62" i="12"/>
  <c r="AD62" i="12"/>
  <c r="AF62" i="12"/>
  <c r="AG62" i="12"/>
  <c r="AI63" i="12"/>
  <c r="AJ63" i="12"/>
  <c r="AK63" i="12"/>
  <c r="AL63" i="12"/>
  <c r="AM63" i="12"/>
  <c r="AN63" i="12"/>
  <c r="AO63" i="12"/>
  <c r="E66" i="12"/>
  <c r="AI66" i="12" s="1"/>
  <c r="AJ66" i="12"/>
  <c r="AK66" i="12"/>
  <c r="AN66" i="12"/>
  <c r="AO66" i="12"/>
  <c r="J67" i="12"/>
  <c r="J68" i="12" s="1"/>
  <c r="L67" i="12"/>
  <c r="L68" i="12" s="1"/>
  <c r="S67" i="12"/>
  <c r="S68" i="12" s="1"/>
  <c r="T67" i="12"/>
  <c r="T68" i="12" s="1"/>
  <c r="V67" i="12"/>
  <c r="V68" i="12" s="1"/>
  <c r="AE67" i="12"/>
  <c r="AE68" i="12" s="1"/>
  <c r="AO67" i="12"/>
  <c r="B68" i="12"/>
  <c r="C68" i="12"/>
  <c r="F68" i="12"/>
  <c r="G68" i="12"/>
  <c r="H68" i="12"/>
  <c r="K68" i="12"/>
  <c r="M68" i="12"/>
  <c r="N68" i="12"/>
  <c r="O68" i="12"/>
  <c r="P68" i="12"/>
  <c r="Q68" i="12"/>
  <c r="R68" i="12"/>
  <c r="U68" i="12"/>
  <c r="W68" i="12"/>
  <c r="X68" i="12"/>
  <c r="Y68" i="12"/>
  <c r="AA68" i="12"/>
  <c r="AB68" i="12"/>
  <c r="AC68" i="12"/>
  <c r="AD68" i="12"/>
  <c r="AF68" i="12"/>
  <c r="AG68" i="12"/>
  <c r="AH68" i="12"/>
  <c r="AI69" i="12"/>
  <c r="AJ69" i="12"/>
  <c r="AK69" i="12"/>
  <c r="AL69" i="12"/>
  <c r="AM69" i="12"/>
  <c r="AN69" i="12"/>
  <c r="AO69" i="12"/>
  <c r="H72" i="12"/>
  <c r="H74" i="12" s="1"/>
  <c r="M72" i="12"/>
  <c r="M74" i="12" s="1"/>
  <c r="N72" i="12"/>
  <c r="O72" i="12"/>
  <c r="V72" i="12"/>
  <c r="V73" i="12" s="1"/>
  <c r="V74" i="12" s="1"/>
  <c r="Y72" i="12"/>
  <c r="AE72" i="12"/>
  <c r="AH72" i="12"/>
  <c r="AJ72" i="12"/>
  <c r="C73" i="12"/>
  <c r="C74" i="12" s="1"/>
  <c r="E73" i="12"/>
  <c r="J73" i="12"/>
  <c r="J74" i="12" s="1"/>
  <c r="L73" i="12"/>
  <c r="L74" i="12" s="1"/>
  <c r="R73" i="12"/>
  <c r="S73" i="12"/>
  <c r="S74" i="12" s="1"/>
  <c r="T73" i="12"/>
  <c r="AO73" i="12"/>
  <c r="B74" i="12"/>
  <c r="F74" i="12"/>
  <c r="G74" i="12"/>
  <c r="K74" i="12"/>
  <c r="P74" i="12"/>
  <c r="Q74" i="12"/>
  <c r="U74" i="12"/>
  <c r="W74" i="12"/>
  <c r="X74" i="12"/>
  <c r="AA74" i="12"/>
  <c r="AB74" i="12"/>
  <c r="AC74" i="12"/>
  <c r="AD74" i="12"/>
  <c r="AF74" i="12"/>
  <c r="AG74" i="12"/>
  <c r="AI75" i="12"/>
  <c r="AJ75" i="12"/>
  <c r="AK75" i="12"/>
  <c r="AL75" i="12"/>
  <c r="AM75" i="12"/>
  <c r="AN75" i="12"/>
  <c r="AO75" i="12"/>
  <c r="N77" i="12"/>
  <c r="Q77" i="12"/>
  <c r="AD77" i="12"/>
  <c r="AG77" i="12"/>
  <c r="P78" i="12"/>
  <c r="Q78" i="12"/>
  <c r="Z78" i="12"/>
  <c r="AC78" i="12"/>
  <c r="AD78" i="12"/>
  <c r="AF78" i="12"/>
  <c r="AG78" i="12"/>
  <c r="X6" i="11"/>
  <c r="AL6" i="11"/>
  <c r="AN6" i="11"/>
  <c r="AP6" i="11"/>
  <c r="AQ6" i="11"/>
  <c r="B7" i="11"/>
  <c r="C7" i="11"/>
  <c r="F7" i="11"/>
  <c r="F8" i="11" s="1"/>
  <c r="G7" i="11"/>
  <c r="I7" i="11"/>
  <c r="I8" i="11" s="1"/>
  <c r="J7" i="11"/>
  <c r="J8" i="11" s="1"/>
  <c r="L7" i="11"/>
  <c r="L8" i="11" s="1"/>
  <c r="Q7" i="11"/>
  <c r="R7" i="11"/>
  <c r="R8" i="11" s="1"/>
  <c r="S7" i="11"/>
  <c r="S8" i="11" s="1"/>
  <c r="T7" i="11"/>
  <c r="AQ7" i="11" s="1"/>
  <c r="U7" i="11"/>
  <c r="W7" i="11"/>
  <c r="W8" i="11" s="1"/>
  <c r="AB7" i="11"/>
  <c r="AC7" i="11"/>
  <c r="AC8" i="11" s="1"/>
  <c r="AF7" i="11"/>
  <c r="AJ7" i="11"/>
  <c r="AJ8" i="11" s="1"/>
  <c r="B8" i="11"/>
  <c r="H8" i="11"/>
  <c r="K8" i="11"/>
  <c r="M8" i="11"/>
  <c r="N8" i="11"/>
  <c r="O8" i="11"/>
  <c r="P8" i="11"/>
  <c r="V8" i="11"/>
  <c r="AD8" i="11"/>
  <c r="AE8" i="11"/>
  <c r="AH8" i="11"/>
  <c r="AI8" i="11"/>
  <c r="AK9" i="11"/>
  <c r="AL9" i="11"/>
  <c r="AM9" i="11"/>
  <c r="AN9" i="11"/>
  <c r="AO9" i="11"/>
  <c r="AP9" i="11"/>
  <c r="AQ9" i="11"/>
  <c r="B12" i="11"/>
  <c r="B14" i="11" s="1"/>
  <c r="C12" i="11"/>
  <c r="C14" i="11" s="1"/>
  <c r="F12" i="11"/>
  <c r="G12" i="11"/>
  <c r="H12" i="11"/>
  <c r="H14" i="11" s="1"/>
  <c r="I12" i="11"/>
  <c r="I13" i="11" s="1"/>
  <c r="J12" i="11"/>
  <c r="J13" i="11" s="1"/>
  <c r="J14" i="11" s="1"/>
  <c r="K12" i="11"/>
  <c r="L12" i="11"/>
  <c r="L13" i="11" s="1"/>
  <c r="L14" i="11" s="1"/>
  <c r="Q12" i="11"/>
  <c r="Q13" i="11" s="1"/>
  <c r="Q14" i="11" s="1"/>
  <c r="R12" i="11"/>
  <c r="R13" i="11" s="1"/>
  <c r="R14" i="11" s="1"/>
  <c r="S12" i="11"/>
  <c r="T12" i="11"/>
  <c r="T13" i="11" s="1"/>
  <c r="T14" i="11" s="1"/>
  <c r="U12" i="11"/>
  <c r="W12" i="11"/>
  <c r="W13" i="11" s="1"/>
  <c r="W14" i="11" s="1"/>
  <c r="X12" i="11"/>
  <c r="AB12" i="11"/>
  <c r="AC12" i="11"/>
  <c r="AD12" i="11"/>
  <c r="AD14" i="11" s="1"/>
  <c r="AF12" i="11"/>
  <c r="AF13" i="11" s="1"/>
  <c r="AF14" i="11" s="1"/>
  <c r="AJ12" i="11"/>
  <c r="AJ13" i="11" s="1"/>
  <c r="AJ14" i="11" s="1"/>
  <c r="M14" i="11"/>
  <c r="N14" i="11"/>
  <c r="O14" i="11"/>
  <c r="P14" i="11"/>
  <c r="V14" i="11"/>
  <c r="AE14" i="11"/>
  <c r="AH14" i="11"/>
  <c r="AI14" i="11"/>
  <c r="AK15" i="11"/>
  <c r="AL15" i="11"/>
  <c r="AM15" i="11"/>
  <c r="AN15" i="11"/>
  <c r="AO15" i="11"/>
  <c r="AP15" i="11"/>
  <c r="AQ15" i="11"/>
  <c r="X18" i="11"/>
  <c r="AK18" i="11" s="1"/>
  <c r="AD18" i="11"/>
  <c r="AD20" i="11" s="1"/>
  <c r="AL18" i="11"/>
  <c r="AQ18" i="11"/>
  <c r="C19" i="11"/>
  <c r="F19" i="11"/>
  <c r="F20" i="11" s="1"/>
  <c r="I19" i="11"/>
  <c r="J19" i="11"/>
  <c r="J20" i="11" s="1"/>
  <c r="K19" i="11"/>
  <c r="K20" i="11" s="1"/>
  <c r="Q19" i="11"/>
  <c r="Q20" i="11" s="1"/>
  <c r="R19" i="11"/>
  <c r="R20" i="11" s="1"/>
  <c r="S19" i="11"/>
  <c r="S20" i="11" s="1"/>
  <c r="T19" i="11"/>
  <c r="U19" i="11"/>
  <c r="W19" i="11"/>
  <c r="W20" i="11" s="1"/>
  <c r="AB19" i="11"/>
  <c r="AC19" i="11"/>
  <c r="AC20" i="11" s="1"/>
  <c r="AF19" i="11"/>
  <c r="AJ19" i="11"/>
  <c r="B20" i="11"/>
  <c r="G20" i="11"/>
  <c r="H20" i="11"/>
  <c r="L20" i="11"/>
  <c r="M20" i="11"/>
  <c r="N20" i="11"/>
  <c r="O20" i="11"/>
  <c r="P20" i="11"/>
  <c r="V20" i="11"/>
  <c r="AE20" i="11"/>
  <c r="AH20" i="11"/>
  <c r="AI20" i="11"/>
  <c r="AK21" i="11"/>
  <c r="AL21" i="11"/>
  <c r="AM21" i="11"/>
  <c r="AN21" i="11"/>
  <c r="AO21" i="11"/>
  <c r="AP21" i="11"/>
  <c r="AQ21" i="11"/>
  <c r="B24" i="11"/>
  <c r="C24" i="11"/>
  <c r="C26" i="11" s="1"/>
  <c r="F24" i="11"/>
  <c r="G24" i="11"/>
  <c r="G26" i="11" s="1"/>
  <c r="J24" i="11"/>
  <c r="J25" i="11" s="1"/>
  <c r="J26" i="11" s="1"/>
  <c r="K24" i="11"/>
  <c r="K26" i="11" s="1"/>
  <c r="L24" i="11"/>
  <c r="L26" i="11" s="1"/>
  <c r="Q24" i="11"/>
  <c r="R24" i="11"/>
  <c r="R25" i="11" s="1"/>
  <c r="R26" i="11" s="1"/>
  <c r="S24" i="11"/>
  <c r="S25" i="11" s="1"/>
  <c r="S26" i="11" s="1"/>
  <c r="T24" i="11"/>
  <c r="T25" i="11" s="1"/>
  <c r="AQ25" i="11" s="1"/>
  <c r="U24" i="11"/>
  <c r="U25" i="11" s="1"/>
  <c r="X24" i="11"/>
  <c r="AB24" i="11"/>
  <c r="AB25" i="11" s="1"/>
  <c r="AB26" i="11" s="1"/>
  <c r="AF24" i="11"/>
  <c r="AJ24" i="11"/>
  <c r="AJ25" i="11" s="1"/>
  <c r="I25" i="11"/>
  <c r="I26" i="11" s="1"/>
  <c r="W25" i="11"/>
  <c r="W26" i="11" s="1"/>
  <c r="AC25" i="11"/>
  <c r="AC26" i="11" s="1"/>
  <c r="H26" i="11"/>
  <c r="M26" i="11"/>
  <c r="N26" i="11"/>
  <c r="O26" i="11"/>
  <c r="P26" i="11"/>
  <c r="V26" i="11"/>
  <c r="AD26" i="11"/>
  <c r="AE26" i="11"/>
  <c r="AH26" i="11"/>
  <c r="AI26" i="11"/>
  <c r="AK27" i="11"/>
  <c r="AL27" i="11"/>
  <c r="AM27" i="11"/>
  <c r="AN27" i="11"/>
  <c r="AO27" i="11"/>
  <c r="AP27" i="11"/>
  <c r="AQ27" i="11"/>
  <c r="AK30" i="11"/>
  <c r="AL30" i="11"/>
  <c r="AM30" i="11"/>
  <c r="AN30" i="11"/>
  <c r="AO30" i="11"/>
  <c r="AP30" i="11"/>
  <c r="AQ30" i="11"/>
  <c r="C31" i="11"/>
  <c r="F31" i="11"/>
  <c r="F32" i="11" s="1"/>
  <c r="I31" i="11"/>
  <c r="I32" i="11" s="1"/>
  <c r="J31" i="11"/>
  <c r="J32" i="11" s="1"/>
  <c r="M31" i="11"/>
  <c r="M32" i="11" s="1"/>
  <c r="Q31" i="11"/>
  <c r="Q32" i="11" s="1"/>
  <c r="R31" i="11"/>
  <c r="R32" i="11" s="1"/>
  <c r="S31" i="11"/>
  <c r="S32" i="11" s="1"/>
  <c r="T31" i="11"/>
  <c r="U31" i="11"/>
  <c r="U32" i="11" s="1"/>
  <c r="W31" i="11"/>
  <c r="W32" i="11" s="1"/>
  <c r="X31" i="11"/>
  <c r="AB31" i="11"/>
  <c r="AC31" i="11"/>
  <c r="AC32" i="11" s="1"/>
  <c r="AF31" i="11"/>
  <c r="AF32" i="11" s="1"/>
  <c r="AJ31" i="11"/>
  <c r="AJ32" i="11" s="1"/>
  <c r="B32" i="11"/>
  <c r="G32" i="11"/>
  <c r="H32" i="11"/>
  <c r="K32" i="11"/>
  <c r="L32" i="11"/>
  <c r="N32" i="11"/>
  <c r="O32" i="11"/>
  <c r="P32" i="11"/>
  <c r="V32" i="11"/>
  <c r="AD32" i="11"/>
  <c r="AE32" i="11"/>
  <c r="AH32" i="11"/>
  <c r="AI32" i="11"/>
  <c r="AK33" i="11"/>
  <c r="AL33" i="11"/>
  <c r="AM33" i="11"/>
  <c r="AN33" i="11"/>
  <c r="AO33" i="11"/>
  <c r="AP33" i="11"/>
  <c r="AQ33" i="11"/>
  <c r="H36" i="11"/>
  <c r="X36" i="11"/>
  <c r="AO36" i="11" s="1"/>
  <c r="AL36" i="11"/>
  <c r="AP36" i="11"/>
  <c r="C37" i="11"/>
  <c r="F37" i="11"/>
  <c r="F38" i="11" s="1"/>
  <c r="J37" i="11"/>
  <c r="J38" i="11" s="1"/>
  <c r="L37" i="11"/>
  <c r="L38" i="11" s="1"/>
  <c r="Q37" i="11"/>
  <c r="Q38" i="11" s="1"/>
  <c r="S37" i="11"/>
  <c r="S38" i="11" s="1"/>
  <c r="T37" i="11"/>
  <c r="U37" i="11"/>
  <c r="U38" i="11" s="1"/>
  <c r="W37" i="11"/>
  <c r="W38" i="11" s="1"/>
  <c r="AB37" i="11"/>
  <c r="AB38" i="11" s="1"/>
  <c r="AC37" i="11"/>
  <c r="AC38" i="11" s="1"/>
  <c r="AF37" i="11"/>
  <c r="AF38" i="11" s="1"/>
  <c r="AJ37" i="11"/>
  <c r="G38" i="11"/>
  <c r="I38" i="11"/>
  <c r="K38" i="11"/>
  <c r="N38" i="11"/>
  <c r="P38" i="11"/>
  <c r="R38" i="11"/>
  <c r="V38" i="11"/>
  <c r="AD38" i="11"/>
  <c r="AE38" i="11"/>
  <c r="AH38" i="11"/>
  <c r="AI38" i="11"/>
  <c r="AK39" i="11"/>
  <c r="AL39" i="11"/>
  <c r="AM39" i="11"/>
  <c r="AN39" i="11"/>
  <c r="AO39" i="11"/>
  <c r="AP39" i="11"/>
  <c r="AQ39" i="11"/>
  <c r="M42" i="11"/>
  <c r="N42" i="11"/>
  <c r="N44" i="11" s="1"/>
  <c r="X42" i="11"/>
  <c r="X44" i="11" s="1"/>
  <c r="AL42" i="11"/>
  <c r="AQ42" i="11"/>
  <c r="C43" i="11"/>
  <c r="C44" i="11" s="1"/>
  <c r="F43" i="11"/>
  <c r="F44" i="11" s="1"/>
  <c r="G43" i="11"/>
  <c r="I43" i="11"/>
  <c r="I44" i="11" s="1"/>
  <c r="J43" i="11"/>
  <c r="J44" i="11" s="1"/>
  <c r="K43" i="11"/>
  <c r="K44" i="11" s="1"/>
  <c r="Q43" i="11"/>
  <c r="Q44" i="11" s="1"/>
  <c r="S43" i="11"/>
  <c r="S44" i="11" s="1"/>
  <c r="T43" i="11"/>
  <c r="AQ43" i="11" s="1"/>
  <c r="U43" i="11"/>
  <c r="W43" i="11"/>
  <c r="W44" i="11" s="1"/>
  <c r="AB43" i="11"/>
  <c r="AB44" i="11" s="1"/>
  <c r="AC43" i="11"/>
  <c r="AC44" i="11" s="1"/>
  <c r="AF43" i="11"/>
  <c r="AF44" i="11" s="1"/>
  <c r="AJ43" i="11"/>
  <c r="AJ44" i="11" s="1"/>
  <c r="H44" i="11"/>
  <c r="L44" i="11"/>
  <c r="P44" i="11"/>
  <c r="R44" i="11"/>
  <c r="V44" i="11"/>
  <c r="AD44" i="11"/>
  <c r="AE44" i="11"/>
  <c r="AH44" i="11"/>
  <c r="AI44" i="11"/>
  <c r="AK45" i="11"/>
  <c r="AL45" i="11"/>
  <c r="AM45" i="11"/>
  <c r="AN45" i="11"/>
  <c r="AO45" i="11"/>
  <c r="AP45" i="11"/>
  <c r="AQ45" i="11"/>
  <c r="AK48" i="11"/>
  <c r="AL48" i="11"/>
  <c r="AM48" i="11"/>
  <c r="AN48" i="11"/>
  <c r="AO48" i="11"/>
  <c r="AP48" i="11"/>
  <c r="AQ48" i="11"/>
  <c r="C49" i="11"/>
  <c r="F49" i="11"/>
  <c r="F50" i="11" s="1"/>
  <c r="J49" i="11"/>
  <c r="J50" i="11" s="1"/>
  <c r="Q49" i="11"/>
  <c r="S49" i="11"/>
  <c r="S50" i="11" s="1"/>
  <c r="T49" i="11"/>
  <c r="U49" i="11"/>
  <c r="U50" i="11" s="1"/>
  <c r="W49" i="11"/>
  <c r="W50" i="11" s="1"/>
  <c r="X49" i="11"/>
  <c r="AB49" i="11"/>
  <c r="AC49" i="11"/>
  <c r="AC50" i="11" s="1"/>
  <c r="AF49" i="11"/>
  <c r="AF50" i="11" s="1"/>
  <c r="AJ49" i="11"/>
  <c r="G50" i="11"/>
  <c r="H50" i="11"/>
  <c r="K50" i="11"/>
  <c r="L50" i="11"/>
  <c r="P50" i="11"/>
  <c r="R50" i="11"/>
  <c r="V50" i="11"/>
  <c r="AD50" i="11"/>
  <c r="AE50" i="11"/>
  <c r="AH50" i="11"/>
  <c r="AI50" i="11"/>
  <c r="AK51" i="11"/>
  <c r="AL51" i="11"/>
  <c r="AM51" i="11"/>
  <c r="AN51" i="11"/>
  <c r="AO51" i="11"/>
  <c r="AP51" i="11"/>
  <c r="AQ51" i="11"/>
  <c r="AK54" i="11"/>
  <c r="AL54" i="11"/>
  <c r="AM54" i="11"/>
  <c r="AR54" i="11" s="1"/>
  <c r="AN54" i="11"/>
  <c r="AO54" i="11"/>
  <c r="AP54" i="11"/>
  <c r="AQ54" i="11"/>
  <c r="C55" i="11"/>
  <c r="C56" i="11" s="1"/>
  <c r="F55" i="11"/>
  <c r="G55" i="11"/>
  <c r="J55" i="11"/>
  <c r="J56" i="11" s="1"/>
  <c r="Q55" i="11"/>
  <c r="Q56" i="11" s="1"/>
  <c r="R55" i="11"/>
  <c r="S55" i="11"/>
  <c r="S56" i="11" s="1"/>
  <c r="T55" i="11"/>
  <c r="T56" i="11" s="1"/>
  <c r="W55" i="11"/>
  <c r="W56" i="11" s="1"/>
  <c r="AB55" i="11"/>
  <c r="AC55" i="11"/>
  <c r="AF55" i="11"/>
  <c r="AF56" i="11" s="1"/>
  <c r="H56" i="11"/>
  <c r="K56" i="11"/>
  <c r="P56" i="11"/>
  <c r="V56" i="11"/>
  <c r="AD56" i="11"/>
  <c r="AH56" i="11"/>
  <c r="AI56" i="11"/>
  <c r="AK57" i="11"/>
  <c r="AL57" i="11"/>
  <c r="AM57" i="11"/>
  <c r="AN57" i="11"/>
  <c r="AO57" i="11"/>
  <c r="AP57" i="11"/>
  <c r="AQ57" i="11"/>
  <c r="I60" i="11"/>
  <c r="AM60" i="11" s="1"/>
  <c r="AD60" i="11"/>
  <c r="AP60" i="11" s="1"/>
  <c r="AL60" i="11"/>
  <c r="AQ60" i="11"/>
  <c r="F61" i="11"/>
  <c r="F62" i="11" s="1"/>
  <c r="J61" i="11"/>
  <c r="J62" i="11" s="1"/>
  <c r="L61" i="11"/>
  <c r="Q61" i="11"/>
  <c r="Q62" i="11" s="1"/>
  <c r="R61" i="11"/>
  <c r="R62" i="11" s="1"/>
  <c r="S61" i="11"/>
  <c r="S62" i="11" s="1"/>
  <c r="T61" i="11"/>
  <c r="U61" i="11"/>
  <c r="U62" i="11" s="1"/>
  <c r="W61" i="11"/>
  <c r="W62" i="11" s="1"/>
  <c r="AB61" i="11"/>
  <c r="AB62" i="11" s="1"/>
  <c r="AC61" i="11"/>
  <c r="C62" i="11"/>
  <c r="G62" i="11"/>
  <c r="H62" i="11"/>
  <c r="K62" i="11"/>
  <c r="N62" i="11"/>
  <c r="P62" i="11"/>
  <c r="V62" i="11"/>
  <c r="X62" i="11"/>
  <c r="AE62" i="11"/>
  <c r="AF62" i="11"/>
  <c r="AH62" i="11"/>
  <c r="AI62" i="11"/>
  <c r="AK63" i="11"/>
  <c r="AL63" i="11"/>
  <c r="AM63" i="11"/>
  <c r="AN63" i="11"/>
  <c r="AO63" i="11"/>
  <c r="AP63" i="11"/>
  <c r="AQ63" i="11"/>
  <c r="AJ66" i="11"/>
  <c r="AL66" i="11"/>
  <c r="AM66" i="11"/>
  <c r="AP66" i="11"/>
  <c r="AQ66" i="11"/>
  <c r="C67" i="11"/>
  <c r="F67" i="11"/>
  <c r="F68" i="11" s="1"/>
  <c r="H67" i="11"/>
  <c r="I67" i="11"/>
  <c r="J67" i="11"/>
  <c r="J68" i="11" s="1"/>
  <c r="L67" i="11"/>
  <c r="L68" i="11" s="1"/>
  <c r="Q67" i="11"/>
  <c r="Q68" i="11" s="1"/>
  <c r="S67" i="11"/>
  <c r="S68" i="11" s="1"/>
  <c r="T67" i="11"/>
  <c r="T68" i="11" s="1"/>
  <c r="U67" i="11"/>
  <c r="U68" i="11" s="1"/>
  <c r="W67" i="11"/>
  <c r="W68" i="11" s="1"/>
  <c r="AB67" i="11"/>
  <c r="AC67" i="11"/>
  <c r="AC68" i="11" s="1"/>
  <c r="B68" i="11"/>
  <c r="G68" i="11"/>
  <c r="K68" i="11"/>
  <c r="M68" i="11"/>
  <c r="N68" i="11"/>
  <c r="O68" i="11"/>
  <c r="P68" i="11"/>
  <c r="R68" i="11"/>
  <c r="V68" i="11"/>
  <c r="X68" i="11"/>
  <c r="AD68" i="11"/>
  <c r="AE68" i="11"/>
  <c r="AF68" i="11"/>
  <c r="AH68" i="11"/>
  <c r="AI68" i="11"/>
  <c r="AK69" i="11"/>
  <c r="AL69" i="11"/>
  <c r="AM69" i="11"/>
  <c r="AN69" i="11"/>
  <c r="AO69" i="11"/>
  <c r="AP69" i="11"/>
  <c r="AQ69" i="11"/>
  <c r="B72" i="11"/>
  <c r="X72" i="11"/>
  <c r="AD72" i="11"/>
  <c r="AJ72" i="11"/>
  <c r="AJ73" i="11" s="1"/>
  <c r="AJ74" i="11" s="1"/>
  <c r="AL72" i="11"/>
  <c r="AQ72" i="11"/>
  <c r="C73" i="11"/>
  <c r="F73" i="11"/>
  <c r="F74" i="11" s="1"/>
  <c r="I73" i="11"/>
  <c r="I74" i="11" s="1"/>
  <c r="J73" i="11"/>
  <c r="L73" i="11"/>
  <c r="L74" i="11" s="1"/>
  <c r="Q73" i="11"/>
  <c r="Q74" i="11" s="1"/>
  <c r="R73" i="11"/>
  <c r="R74" i="11" s="1"/>
  <c r="S73" i="11"/>
  <c r="T73" i="11"/>
  <c r="T74" i="11" s="1"/>
  <c r="U73" i="11"/>
  <c r="U74" i="11" s="1"/>
  <c r="W73" i="11"/>
  <c r="W74" i="11" s="1"/>
  <c r="G74" i="11"/>
  <c r="H74" i="11"/>
  <c r="J74" i="11"/>
  <c r="K74" i="11"/>
  <c r="M74" i="11"/>
  <c r="N74" i="11"/>
  <c r="O74" i="11"/>
  <c r="P74" i="11"/>
  <c r="S74" i="11"/>
  <c r="V74" i="11"/>
  <c r="AB74" i="11"/>
  <c r="AC74" i="11"/>
  <c r="AE74" i="11"/>
  <c r="AF74" i="11"/>
  <c r="AH74" i="11"/>
  <c r="AI74" i="11"/>
  <c r="AK75" i="11"/>
  <c r="AL75" i="11"/>
  <c r="AM75" i="11"/>
  <c r="AN75" i="11"/>
  <c r="AO75" i="11"/>
  <c r="AP75" i="11"/>
  <c r="AQ75" i="11"/>
  <c r="P77" i="11"/>
  <c r="AE77" i="11"/>
  <c r="AI77" i="11"/>
  <c r="P78" i="11"/>
  <c r="AE78" i="11"/>
  <c r="AI78" i="11"/>
  <c r="B6" i="10"/>
  <c r="AK6" i="10" s="1"/>
  <c r="AL6" i="10"/>
  <c r="AM6" i="10"/>
  <c r="AO6" i="10"/>
  <c r="AQ6" i="10"/>
  <c r="E7" i="10"/>
  <c r="F7" i="10"/>
  <c r="G7" i="10"/>
  <c r="G8" i="10" s="1"/>
  <c r="H7" i="10"/>
  <c r="H8" i="10" s="1"/>
  <c r="J7" i="10"/>
  <c r="J8" i="10" s="1"/>
  <c r="K7" i="10"/>
  <c r="Q7" i="10"/>
  <c r="Q8" i="10" s="1"/>
  <c r="R7" i="10"/>
  <c r="R8" i="10" s="1"/>
  <c r="S7" i="10"/>
  <c r="S8" i="10" s="1"/>
  <c r="T7" i="10"/>
  <c r="U7" i="10"/>
  <c r="W7" i="10"/>
  <c r="W8" i="10" s="1"/>
  <c r="AB7" i="10"/>
  <c r="AB8" i="10" s="1"/>
  <c r="AC7" i="10"/>
  <c r="AJ7" i="10"/>
  <c r="AJ8" i="10" s="1"/>
  <c r="C8" i="10"/>
  <c r="I8" i="10"/>
  <c r="M8" i="10"/>
  <c r="N8" i="10"/>
  <c r="O8" i="10"/>
  <c r="P8" i="10"/>
  <c r="V8" i="10"/>
  <c r="Y8" i="10"/>
  <c r="AD8" i="10"/>
  <c r="AE8" i="10"/>
  <c r="AH8" i="10"/>
  <c r="AI8" i="10"/>
  <c r="AK9" i="10"/>
  <c r="AL9" i="10"/>
  <c r="AM9" i="10"/>
  <c r="AN9" i="10"/>
  <c r="AO9" i="10"/>
  <c r="AP9" i="10"/>
  <c r="AQ9" i="10"/>
  <c r="B12" i="10"/>
  <c r="C12" i="10"/>
  <c r="C13" i="10" s="1"/>
  <c r="F12" i="10"/>
  <c r="F13" i="10" s="1"/>
  <c r="F14" i="10" s="1"/>
  <c r="G12" i="10"/>
  <c r="G14" i="10" s="1"/>
  <c r="H12" i="10"/>
  <c r="I12" i="10"/>
  <c r="I13" i="10" s="1"/>
  <c r="I14" i="10" s="1"/>
  <c r="R12" i="10"/>
  <c r="S12" i="10"/>
  <c r="S13" i="10" s="1"/>
  <c r="U12" i="10"/>
  <c r="U13" i="10" s="1"/>
  <c r="W12" i="10"/>
  <c r="W13" i="10" s="1"/>
  <c r="W14" i="10" s="1"/>
  <c r="X12" i="10"/>
  <c r="AC12" i="10"/>
  <c r="AD12" i="10"/>
  <c r="AD14" i="10" s="1"/>
  <c r="AJ12" i="10"/>
  <c r="AJ13" i="10" s="1"/>
  <c r="AJ14" i="10" s="1"/>
  <c r="E13" i="10"/>
  <c r="J13" i="10"/>
  <c r="J14" i="10" s="1"/>
  <c r="L13" i="10"/>
  <c r="T13" i="10"/>
  <c r="AB13" i="10"/>
  <c r="K14" i="10"/>
  <c r="M14" i="10"/>
  <c r="N14" i="10"/>
  <c r="O14" i="10"/>
  <c r="P14" i="10"/>
  <c r="Q14" i="10"/>
  <c r="V14" i="10"/>
  <c r="Y14" i="10"/>
  <c r="AE14" i="10"/>
  <c r="AF14" i="10"/>
  <c r="AH14" i="10"/>
  <c r="AI14" i="10"/>
  <c r="AK15" i="10"/>
  <c r="AL15" i="10"/>
  <c r="AM15" i="10"/>
  <c r="AN15" i="10"/>
  <c r="AO15" i="10"/>
  <c r="AP15" i="10"/>
  <c r="AQ15" i="10"/>
  <c r="L18" i="10"/>
  <c r="AN18" i="10" s="1"/>
  <c r="AF18" i="10"/>
  <c r="AF19" i="10" s="1"/>
  <c r="AF20" i="10" s="1"/>
  <c r="AL18" i="10"/>
  <c r="AO18" i="10"/>
  <c r="AQ18" i="10"/>
  <c r="C19" i="10"/>
  <c r="C20" i="10" s="1"/>
  <c r="E19" i="10"/>
  <c r="F19" i="10"/>
  <c r="J19" i="10"/>
  <c r="J20" i="10" s="1"/>
  <c r="K19" i="10"/>
  <c r="K20" i="10" s="1"/>
  <c r="N19" i="10"/>
  <c r="N20" i="10" s="1"/>
  <c r="R19" i="10"/>
  <c r="S19" i="10"/>
  <c r="S20" i="10" s="1"/>
  <c r="T19" i="10"/>
  <c r="U19" i="10"/>
  <c r="U20" i="10" s="1"/>
  <c r="W19" i="10"/>
  <c r="W20" i="10" s="1"/>
  <c r="AB19" i="10"/>
  <c r="AC19" i="10"/>
  <c r="AC20" i="10" s="1"/>
  <c r="B20" i="10"/>
  <c r="G20" i="10"/>
  <c r="H20" i="10"/>
  <c r="I20" i="10"/>
  <c r="M20" i="10"/>
  <c r="O20" i="10"/>
  <c r="P20" i="10"/>
  <c r="Q20" i="10"/>
  <c r="V20" i="10"/>
  <c r="X20" i="10"/>
  <c r="Y20" i="10"/>
  <c r="AD20" i="10"/>
  <c r="AE20" i="10"/>
  <c r="AH20" i="10"/>
  <c r="AI20" i="10"/>
  <c r="AJ20" i="10"/>
  <c r="AK21" i="10"/>
  <c r="AL21" i="10"/>
  <c r="AM21" i="10"/>
  <c r="AN21" i="10"/>
  <c r="AO21" i="10"/>
  <c r="AP21" i="10"/>
  <c r="AQ21" i="10"/>
  <c r="B24" i="10"/>
  <c r="B26" i="10" s="1"/>
  <c r="C24" i="10"/>
  <c r="C25" i="10" s="1"/>
  <c r="F24" i="10"/>
  <c r="G24" i="10"/>
  <c r="H24" i="10"/>
  <c r="H26" i="10" s="1"/>
  <c r="I24" i="10"/>
  <c r="I25" i="10" s="1"/>
  <c r="J24" i="10"/>
  <c r="J25" i="10" s="1"/>
  <c r="K24" i="10"/>
  <c r="K25" i="10" s="1"/>
  <c r="L24" i="10"/>
  <c r="L26" i="10" s="1"/>
  <c r="M24" i="10"/>
  <c r="M26" i="10" s="1"/>
  <c r="R24" i="10"/>
  <c r="R25" i="10" s="1"/>
  <c r="R26" i="10" s="1"/>
  <c r="S24" i="10"/>
  <c r="S25" i="10" s="1"/>
  <c r="S26" i="10" s="1"/>
  <c r="T24" i="10"/>
  <c r="T25" i="10" s="1"/>
  <c r="T26" i="10" s="1"/>
  <c r="U24" i="10"/>
  <c r="U25" i="10" s="1"/>
  <c r="U26" i="10" s="1"/>
  <c r="W24" i="10"/>
  <c r="W25" i="10" s="1"/>
  <c r="W26" i="10" s="1"/>
  <c r="X24" i="10"/>
  <c r="X26" i="10" s="1"/>
  <c r="AB24" i="10"/>
  <c r="AB25" i="10" s="1"/>
  <c r="AC24" i="10"/>
  <c r="AD24" i="10"/>
  <c r="AD26" i="10" s="1"/>
  <c r="AF24" i="10"/>
  <c r="AF26" i="10" s="1"/>
  <c r="AJ24" i="10"/>
  <c r="AJ26" i="10" s="1"/>
  <c r="N26" i="10"/>
  <c r="O26" i="10"/>
  <c r="P26" i="10"/>
  <c r="Q26" i="10"/>
  <c r="V26" i="10"/>
  <c r="Y26" i="10"/>
  <c r="AE26" i="10"/>
  <c r="AH26" i="10"/>
  <c r="AI26" i="10"/>
  <c r="AK27" i="10"/>
  <c r="AL27" i="10"/>
  <c r="AM27" i="10"/>
  <c r="AN27" i="10"/>
  <c r="AO27" i="10"/>
  <c r="AP27" i="10"/>
  <c r="AQ27" i="10"/>
  <c r="AK30" i="10"/>
  <c r="AL30" i="10"/>
  <c r="AM30" i="10"/>
  <c r="AN30" i="10"/>
  <c r="AO30" i="10"/>
  <c r="AP30" i="10"/>
  <c r="AQ30" i="10"/>
  <c r="F31" i="10"/>
  <c r="J31" i="10"/>
  <c r="L31" i="10"/>
  <c r="M31" i="10"/>
  <c r="M32" i="10" s="1"/>
  <c r="R31" i="10"/>
  <c r="R32" i="10" s="1"/>
  <c r="S31" i="10"/>
  <c r="S32" i="10" s="1"/>
  <c r="T31" i="10"/>
  <c r="U31" i="10"/>
  <c r="U32" i="10" s="1"/>
  <c r="W31" i="10"/>
  <c r="W32" i="10" s="1"/>
  <c r="AB31" i="10"/>
  <c r="AC31" i="10"/>
  <c r="AC32" i="10" s="1"/>
  <c r="AF31" i="10"/>
  <c r="AF32" i="10" s="1"/>
  <c r="AJ31" i="10"/>
  <c r="C32" i="10"/>
  <c r="G32" i="10"/>
  <c r="H32" i="10"/>
  <c r="I32" i="10"/>
  <c r="K32" i="10"/>
  <c r="N32" i="10"/>
  <c r="O32" i="10"/>
  <c r="P32" i="10"/>
  <c r="Q32" i="10"/>
  <c r="V32" i="10"/>
  <c r="X32" i="10"/>
  <c r="AD32" i="10"/>
  <c r="AE32" i="10"/>
  <c r="AH32" i="10"/>
  <c r="AI32" i="10"/>
  <c r="AK33" i="10"/>
  <c r="AL33" i="10"/>
  <c r="AM33" i="10"/>
  <c r="AN33" i="10"/>
  <c r="AO33" i="10"/>
  <c r="AP33" i="10"/>
  <c r="AQ33" i="10"/>
  <c r="X36" i="10"/>
  <c r="AM36" i="10" s="1"/>
  <c r="AF36" i="10"/>
  <c r="AL36" i="10"/>
  <c r="AN36" i="10"/>
  <c r="AO36" i="10"/>
  <c r="AQ36" i="10"/>
  <c r="C37" i="10"/>
  <c r="C38" i="10" s="1"/>
  <c r="F37" i="10"/>
  <c r="I37" i="10"/>
  <c r="J37" i="10"/>
  <c r="J38" i="10" s="1"/>
  <c r="R37" i="10"/>
  <c r="R38" i="10" s="1"/>
  <c r="S37" i="10"/>
  <c r="S38" i="10" s="1"/>
  <c r="T37" i="10"/>
  <c r="T38" i="10" s="1"/>
  <c r="U37" i="10"/>
  <c r="W37" i="10"/>
  <c r="W38" i="10" s="1"/>
  <c r="AB37" i="10"/>
  <c r="G38" i="10"/>
  <c r="H38" i="10"/>
  <c r="K38" i="10"/>
  <c r="L38" i="10"/>
  <c r="N38" i="10"/>
  <c r="P38" i="10"/>
  <c r="Q38" i="10"/>
  <c r="V38" i="10"/>
  <c r="AC38" i="10"/>
  <c r="AD38" i="10"/>
  <c r="AE38" i="10"/>
  <c r="AH38" i="10"/>
  <c r="AI38" i="10"/>
  <c r="AK39" i="10"/>
  <c r="AL39" i="10"/>
  <c r="AM39" i="10"/>
  <c r="AN39" i="10"/>
  <c r="AO39" i="10"/>
  <c r="AP39" i="10"/>
  <c r="AQ39" i="10"/>
  <c r="AK42" i="10"/>
  <c r="AL42" i="10"/>
  <c r="AM42" i="10"/>
  <c r="AN42" i="10"/>
  <c r="AO42" i="10"/>
  <c r="AP42" i="10"/>
  <c r="AQ42" i="10"/>
  <c r="C43" i="10"/>
  <c r="C44" i="10" s="1"/>
  <c r="F43" i="10"/>
  <c r="F44" i="10" s="1"/>
  <c r="G43" i="10"/>
  <c r="G44" i="10" s="1"/>
  <c r="H43" i="10"/>
  <c r="H44" i="10" s="1"/>
  <c r="J43" i="10"/>
  <c r="J44" i="10" s="1"/>
  <c r="K43" i="10"/>
  <c r="K44" i="10" s="1"/>
  <c r="L43" i="10"/>
  <c r="L44" i="10" s="1"/>
  <c r="Q43" i="10"/>
  <c r="R43" i="10"/>
  <c r="R44" i="10" s="1"/>
  <c r="S43" i="10"/>
  <c r="S44" i="10" s="1"/>
  <c r="T43" i="10"/>
  <c r="T44" i="10" s="1"/>
  <c r="U43" i="10"/>
  <c r="W43" i="10"/>
  <c r="W44" i="10" s="1"/>
  <c r="AB43" i="10"/>
  <c r="AB44" i="10" s="1"/>
  <c r="AC43" i="10"/>
  <c r="AF43" i="10"/>
  <c r="AF44" i="10" s="1"/>
  <c r="AJ43" i="10"/>
  <c r="AJ44" i="10" s="1"/>
  <c r="I44" i="10"/>
  <c r="N44" i="10"/>
  <c r="P44" i="10"/>
  <c r="V44" i="10"/>
  <c r="X44" i="10"/>
  <c r="AD44" i="10"/>
  <c r="AE44" i="10"/>
  <c r="AH44" i="10"/>
  <c r="AI44" i="10"/>
  <c r="AK45" i="10"/>
  <c r="AL45" i="10"/>
  <c r="AM45" i="10"/>
  <c r="AN45" i="10"/>
  <c r="AO45" i="10"/>
  <c r="AP45" i="10"/>
  <c r="AQ45" i="10"/>
  <c r="I48" i="10"/>
  <c r="I50" i="10" s="1"/>
  <c r="AL48" i="10"/>
  <c r="AN48" i="10"/>
  <c r="AP48" i="10"/>
  <c r="AQ48" i="10"/>
  <c r="F49" i="10"/>
  <c r="G49" i="10"/>
  <c r="G50" i="10" s="1"/>
  <c r="H49" i="10"/>
  <c r="H50" i="10" s="1"/>
  <c r="J49" i="10"/>
  <c r="R49" i="10"/>
  <c r="S49" i="10"/>
  <c r="S50" i="10" s="1"/>
  <c r="T49" i="10"/>
  <c r="T50" i="10" s="1"/>
  <c r="U49" i="10"/>
  <c r="W49" i="10"/>
  <c r="W50" i="10" s="1"/>
  <c r="AB49" i="10"/>
  <c r="AB50" i="10" s="1"/>
  <c r="AF49" i="10"/>
  <c r="AF50" i="10" s="1"/>
  <c r="AJ49" i="10"/>
  <c r="AJ50" i="10" s="1"/>
  <c r="C50" i="10"/>
  <c r="K50" i="10"/>
  <c r="L50" i="10"/>
  <c r="P50" i="10"/>
  <c r="Q50" i="10"/>
  <c r="V50" i="10"/>
  <c r="AC50" i="10"/>
  <c r="AD50" i="10"/>
  <c r="AE50" i="10"/>
  <c r="AH50" i="10"/>
  <c r="AI50" i="10"/>
  <c r="AK51" i="10"/>
  <c r="AL51" i="10"/>
  <c r="AM51" i="10"/>
  <c r="AN51" i="10"/>
  <c r="AO51" i="10"/>
  <c r="AP51" i="10"/>
  <c r="AQ51" i="10"/>
  <c r="AF54" i="10"/>
  <c r="AM54" i="10" s="1"/>
  <c r="AL54" i="10"/>
  <c r="AN54" i="10"/>
  <c r="AO54" i="10"/>
  <c r="AQ54" i="10"/>
  <c r="F55" i="10"/>
  <c r="G55" i="10"/>
  <c r="G56" i="10" s="1"/>
  <c r="J55" i="10"/>
  <c r="Q55" i="10"/>
  <c r="Q56" i="10" s="1"/>
  <c r="R55" i="10"/>
  <c r="S55" i="10"/>
  <c r="T55" i="10"/>
  <c r="W55" i="10"/>
  <c r="W56" i="10" s="1"/>
  <c r="AB55" i="10"/>
  <c r="AB56" i="10" s="1"/>
  <c r="C56" i="10"/>
  <c r="H56" i="10"/>
  <c r="L56" i="10"/>
  <c r="P56" i="10"/>
  <c r="V56" i="10"/>
  <c r="AC56" i="10"/>
  <c r="AD56" i="10"/>
  <c r="AE56" i="10"/>
  <c r="AH56" i="10"/>
  <c r="AI56" i="10"/>
  <c r="AK57" i="10"/>
  <c r="AL57" i="10"/>
  <c r="AM57" i="10"/>
  <c r="AN57" i="10"/>
  <c r="AO57" i="10"/>
  <c r="AP57" i="10"/>
  <c r="AQ57" i="10"/>
  <c r="I60" i="10"/>
  <c r="U60" i="10"/>
  <c r="AF60" i="10"/>
  <c r="AP60" i="10" s="1"/>
  <c r="AL60" i="10"/>
  <c r="AQ60" i="10"/>
  <c r="C61" i="10"/>
  <c r="F61" i="10"/>
  <c r="F62" i="10" s="1"/>
  <c r="G61" i="10"/>
  <c r="J61" i="10"/>
  <c r="J62" i="10" s="1"/>
  <c r="R61" i="10"/>
  <c r="R62" i="10" s="1"/>
  <c r="S61" i="10"/>
  <c r="S62" i="10" s="1"/>
  <c r="T61" i="10"/>
  <c r="AQ61" i="10" s="1"/>
  <c r="W61" i="10"/>
  <c r="W62" i="10" s="1"/>
  <c r="AB61" i="10"/>
  <c r="AC61" i="10"/>
  <c r="AC62" i="10" s="1"/>
  <c r="G62" i="10"/>
  <c r="H62" i="10"/>
  <c r="L62" i="10"/>
  <c r="N62" i="10"/>
  <c r="P62" i="10"/>
  <c r="Q62" i="10"/>
  <c r="V62" i="10"/>
  <c r="X62" i="10"/>
  <c r="AD62" i="10"/>
  <c r="AE62" i="10"/>
  <c r="AH62" i="10"/>
  <c r="AI62" i="10"/>
  <c r="AK63" i="10"/>
  <c r="AL63" i="10"/>
  <c r="AM63" i="10"/>
  <c r="AN63" i="10"/>
  <c r="AO63" i="10"/>
  <c r="AP63" i="10"/>
  <c r="AQ63" i="10"/>
  <c r="AK66" i="10"/>
  <c r="AL66" i="10"/>
  <c r="AM66" i="10"/>
  <c r="AN66" i="10"/>
  <c r="AO66" i="10"/>
  <c r="AP66" i="10"/>
  <c r="AQ66" i="10"/>
  <c r="F67" i="10"/>
  <c r="F68" i="10" s="1"/>
  <c r="H67" i="10"/>
  <c r="I67" i="10"/>
  <c r="I68" i="10" s="1"/>
  <c r="J67" i="10"/>
  <c r="J68" i="10" s="1"/>
  <c r="L67" i="10"/>
  <c r="L68" i="10" s="1"/>
  <c r="R67" i="10"/>
  <c r="S67" i="10"/>
  <c r="S68" i="10" s="1"/>
  <c r="T67" i="10"/>
  <c r="U67" i="10"/>
  <c r="U68" i="10" s="1"/>
  <c r="W67" i="10"/>
  <c r="W68" i="10" s="1"/>
  <c r="AB67" i="10"/>
  <c r="AC67" i="10"/>
  <c r="AF67" i="10"/>
  <c r="AF68" i="10" s="1"/>
  <c r="AJ67" i="10"/>
  <c r="C68" i="10"/>
  <c r="G68" i="10"/>
  <c r="K68" i="10"/>
  <c r="M68" i="10"/>
  <c r="N68" i="10"/>
  <c r="O68" i="10"/>
  <c r="P68" i="10"/>
  <c r="Q68" i="10"/>
  <c r="V68" i="10"/>
  <c r="X68" i="10"/>
  <c r="AD68" i="10"/>
  <c r="AE68" i="10"/>
  <c r="AH68" i="10"/>
  <c r="AI68" i="10"/>
  <c r="AK69" i="10"/>
  <c r="AL69" i="10"/>
  <c r="AM69" i="10"/>
  <c r="AN69" i="10"/>
  <c r="AO69" i="10"/>
  <c r="AP69" i="10"/>
  <c r="AQ69" i="10"/>
  <c r="M72" i="10"/>
  <c r="AN72" i="10" s="1"/>
  <c r="X72" i="10"/>
  <c r="AF72" i="10"/>
  <c r="AL72" i="10"/>
  <c r="AQ72" i="10"/>
  <c r="B73" i="10"/>
  <c r="B74" i="10" s="1"/>
  <c r="C73" i="10"/>
  <c r="C74" i="10" s="1"/>
  <c r="F73" i="10"/>
  <c r="F74" i="10" s="1"/>
  <c r="I73" i="10"/>
  <c r="J73" i="10"/>
  <c r="J74" i="10" s="1"/>
  <c r="M73" i="10"/>
  <c r="Q73" i="10"/>
  <c r="Q74" i="10" s="1"/>
  <c r="R73" i="10"/>
  <c r="S73" i="10"/>
  <c r="S74" i="10" s="1"/>
  <c r="T73" i="10"/>
  <c r="T74" i="10" s="1"/>
  <c r="U73" i="10"/>
  <c r="U74" i="10" s="1"/>
  <c r="W73" i="10"/>
  <c r="W74" i="10" s="1"/>
  <c r="AB73" i="10"/>
  <c r="AB74" i="10" s="1"/>
  <c r="AC73" i="10"/>
  <c r="AJ73" i="10"/>
  <c r="AJ74" i="10" s="1"/>
  <c r="G74" i="10"/>
  <c r="H74" i="10"/>
  <c r="K74" i="10"/>
  <c r="L74" i="10"/>
  <c r="N74" i="10"/>
  <c r="O74" i="10"/>
  <c r="P74" i="10"/>
  <c r="V74" i="10"/>
  <c r="AD74" i="10"/>
  <c r="AE74" i="10"/>
  <c r="AH74" i="10"/>
  <c r="AI74" i="10"/>
  <c r="AK75" i="10"/>
  <c r="AL75" i="10"/>
  <c r="AM75" i="10"/>
  <c r="AN75" i="10"/>
  <c r="AO75" i="10"/>
  <c r="AP75" i="10"/>
  <c r="AQ75" i="10"/>
  <c r="AC81" i="10"/>
  <c r="L6" i="8"/>
  <c r="AK6" i="8"/>
  <c r="AL6" i="8"/>
  <c r="AN6" i="8"/>
  <c r="AO6" i="8"/>
  <c r="AP6" i="8"/>
  <c r="E7" i="8"/>
  <c r="F7" i="8"/>
  <c r="F8" i="8" s="1"/>
  <c r="I7" i="8"/>
  <c r="I8" i="8" s="1"/>
  <c r="J7" i="8"/>
  <c r="K7" i="8"/>
  <c r="K8" i="8" s="1"/>
  <c r="R7" i="8"/>
  <c r="R8" i="8" s="1"/>
  <c r="S7" i="8"/>
  <c r="S8" i="8" s="1"/>
  <c r="U7" i="8"/>
  <c r="U8" i="8" s="1"/>
  <c r="W7" i="8"/>
  <c r="W8" i="8" s="1"/>
  <c r="AB7" i="8"/>
  <c r="AC7" i="8"/>
  <c r="AC8" i="8" s="1"/>
  <c r="AF7" i="8"/>
  <c r="AF8" i="8" s="1"/>
  <c r="AI7" i="8"/>
  <c r="AI8" i="8" s="1"/>
  <c r="AP7" i="8"/>
  <c r="C8" i="8"/>
  <c r="H8" i="8"/>
  <c r="M8" i="8"/>
  <c r="N8" i="8"/>
  <c r="O8" i="8"/>
  <c r="P8" i="8"/>
  <c r="Q8" i="8"/>
  <c r="T8" i="8"/>
  <c r="V8" i="8"/>
  <c r="Y8" i="8"/>
  <c r="AD8" i="8"/>
  <c r="AE8" i="8"/>
  <c r="AG8" i="8"/>
  <c r="AH8" i="8"/>
  <c r="AJ9" i="8"/>
  <c r="AK9" i="8"/>
  <c r="AL9" i="8"/>
  <c r="AM9" i="8"/>
  <c r="AN9" i="8"/>
  <c r="AO9" i="8"/>
  <c r="AP9" i="8"/>
  <c r="G12" i="8"/>
  <c r="G14" i="8" s="1"/>
  <c r="AD12" i="8"/>
  <c r="AK12" i="8"/>
  <c r="AL12" i="8"/>
  <c r="AN12" i="8"/>
  <c r="AP12" i="8"/>
  <c r="E13" i="8"/>
  <c r="F13" i="8"/>
  <c r="I13" i="8"/>
  <c r="I14" i="8" s="1"/>
  <c r="J13" i="8"/>
  <c r="J14" i="8" s="1"/>
  <c r="K13" i="8"/>
  <c r="K14" i="8" s="1"/>
  <c r="R13" i="8"/>
  <c r="R14" i="8" s="1"/>
  <c r="S13" i="8"/>
  <c r="S14" i="8" s="1"/>
  <c r="T13" i="8"/>
  <c r="W13" i="8"/>
  <c r="W14" i="8" s="1"/>
  <c r="AB13" i="8"/>
  <c r="AC13" i="8"/>
  <c r="AC14" i="8" s="1"/>
  <c r="AF13" i="8"/>
  <c r="AF14" i="8" s="1"/>
  <c r="C14" i="8"/>
  <c r="H14" i="8"/>
  <c r="L14" i="8"/>
  <c r="M14" i="8"/>
  <c r="N14" i="8"/>
  <c r="O14" i="8"/>
  <c r="P14" i="8"/>
  <c r="Q14" i="8"/>
  <c r="U14" i="8"/>
  <c r="V14" i="8"/>
  <c r="Y14" i="8"/>
  <c r="AE14" i="8"/>
  <c r="AG14" i="8"/>
  <c r="AH14" i="8"/>
  <c r="AI14" i="8"/>
  <c r="AJ15" i="8"/>
  <c r="AK15" i="8"/>
  <c r="AL15" i="8"/>
  <c r="AM15" i="8"/>
  <c r="AN15" i="8"/>
  <c r="AO15" i="8"/>
  <c r="AP15" i="8"/>
  <c r="AJ18" i="8"/>
  <c r="AK18" i="8"/>
  <c r="AL18" i="8"/>
  <c r="AM18" i="8"/>
  <c r="AN18" i="8"/>
  <c r="AO18" i="8"/>
  <c r="AP18" i="8"/>
  <c r="F19" i="8"/>
  <c r="F20" i="8" s="1"/>
  <c r="I19" i="8"/>
  <c r="J19" i="8"/>
  <c r="J20" i="8" s="1"/>
  <c r="K19" i="8"/>
  <c r="R19" i="8"/>
  <c r="R20" i="8" s="1"/>
  <c r="S19" i="8"/>
  <c r="S20" i="8" s="1"/>
  <c r="T19" i="8"/>
  <c r="U19" i="8"/>
  <c r="U20" i="8" s="1"/>
  <c r="W19" i="8"/>
  <c r="W20" i="8" s="1"/>
  <c r="AB19" i="8"/>
  <c r="AB20" i="8" s="1"/>
  <c r="AC19" i="8"/>
  <c r="AC20" i="8" s="1"/>
  <c r="AF19" i="8"/>
  <c r="AF20" i="8" s="1"/>
  <c r="C20" i="8"/>
  <c r="H20" i="8"/>
  <c r="L20" i="8"/>
  <c r="M20" i="8"/>
  <c r="N20" i="8"/>
  <c r="O20" i="8"/>
  <c r="P20" i="8"/>
  <c r="Q20" i="8"/>
  <c r="V20" i="8"/>
  <c r="Y20" i="8"/>
  <c r="AA20" i="8"/>
  <c r="AD20" i="8"/>
  <c r="AE20" i="8"/>
  <c r="AG20" i="8"/>
  <c r="AH20" i="8"/>
  <c r="AI20" i="8"/>
  <c r="AJ21" i="8"/>
  <c r="AK21" i="8"/>
  <c r="AL21" i="8"/>
  <c r="AM21" i="8"/>
  <c r="AN21" i="8"/>
  <c r="AO21" i="8"/>
  <c r="AP21" i="8"/>
  <c r="L24" i="8"/>
  <c r="L26" i="8" s="1"/>
  <c r="AD24" i="8"/>
  <c r="AD26" i="8" s="1"/>
  <c r="AK24" i="8"/>
  <c r="AL24" i="8"/>
  <c r="AN24" i="8"/>
  <c r="AP24" i="8"/>
  <c r="F25" i="8"/>
  <c r="F26" i="8" s="1"/>
  <c r="I25" i="8"/>
  <c r="I26" i="8" s="1"/>
  <c r="J25" i="8"/>
  <c r="J26" i="8" s="1"/>
  <c r="R25" i="8"/>
  <c r="R26" i="8" s="1"/>
  <c r="S25" i="8"/>
  <c r="S26" i="8" s="1"/>
  <c r="T25" i="8"/>
  <c r="T26" i="8" s="1"/>
  <c r="W25" i="8"/>
  <c r="W26" i="8" s="1"/>
  <c r="AC25" i="8"/>
  <c r="C26" i="8"/>
  <c r="H26" i="8"/>
  <c r="K26" i="8"/>
  <c r="M26" i="8"/>
  <c r="N26" i="8"/>
  <c r="O26" i="8"/>
  <c r="P26" i="8"/>
  <c r="Q26" i="8"/>
  <c r="U26" i="8"/>
  <c r="V26" i="8"/>
  <c r="Y26" i="8"/>
  <c r="AA26" i="8"/>
  <c r="AB26" i="8"/>
  <c r="AE26" i="8"/>
  <c r="AF26" i="8"/>
  <c r="AG26" i="8"/>
  <c r="AH26" i="8"/>
  <c r="AI26" i="8"/>
  <c r="AJ27" i="8"/>
  <c r="AK27" i="8"/>
  <c r="AL27" i="8"/>
  <c r="AM27" i="8"/>
  <c r="AN27" i="8"/>
  <c r="AO27" i="8"/>
  <c r="AP27" i="8"/>
  <c r="G30" i="8"/>
  <c r="G32" i="8" s="1"/>
  <c r="AK30" i="8"/>
  <c r="AL30" i="8"/>
  <c r="AN30" i="8"/>
  <c r="AP30" i="8"/>
  <c r="F31" i="8"/>
  <c r="F32" i="8" s="1"/>
  <c r="H31" i="8"/>
  <c r="H32" i="8" s="1"/>
  <c r="I31" i="8"/>
  <c r="I32" i="8" s="1"/>
  <c r="J31" i="8"/>
  <c r="J32" i="8" s="1"/>
  <c r="R31" i="8"/>
  <c r="S31" i="8"/>
  <c r="S32" i="8" s="1"/>
  <c r="T31" i="8"/>
  <c r="U31" i="8"/>
  <c r="W31" i="8"/>
  <c r="W32" i="8" s="1"/>
  <c r="AB31" i="8"/>
  <c r="AC31" i="8"/>
  <c r="AI31" i="8"/>
  <c r="C32" i="8"/>
  <c r="K32" i="8"/>
  <c r="L32" i="8"/>
  <c r="M32" i="8"/>
  <c r="N32" i="8"/>
  <c r="O32" i="8"/>
  <c r="P32" i="8"/>
  <c r="Q32" i="8"/>
  <c r="R32" i="8"/>
  <c r="U32" i="8"/>
  <c r="V32" i="8"/>
  <c r="AA32" i="8"/>
  <c r="AC32" i="8"/>
  <c r="AD32" i="8"/>
  <c r="AE32" i="8"/>
  <c r="AG32" i="8"/>
  <c r="AH32" i="8"/>
  <c r="AJ33" i="8"/>
  <c r="AK33" i="8"/>
  <c r="AL33" i="8"/>
  <c r="AM33" i="8"/>
  <c r="AN33" i="8"/>
  <c r="AO33" i="8"/>
  <c r="AP33" i="8"/>
  <c r="AJ36" i="8"/>
  <c r="AK36" i="8"/>
  <c r="AL36" i="8"/>
  <c r="AM36" i="8"/>
  <c r="AN36" i="8"/>
  <c r="AO36" i="8"/>
  <c r="AP36" i="8"/>
  <c r="F37" i="8"/>
  <c r="F38" i="8" s="1"/>
  <c r="J37" i="8"/>
  <c r="L37" i="8"/>
  <c r="R37" i="8"/>
  <c r="S37" i="8"/>
  <c r="S38" i="8" s="1"/>
  <c r="T37" i="8"/>
  <c r="T38" i="8" s="1"/>
  <c r="U37" i="8"/>
  <c r="W37" i="8"/>
  <c r="W38" i="8" s="1"/>
  <c r="AB37" i="8"/>
  <c r="C38" i="8"/>
  <c r="G38" i="8"/>
  <c r="H38" i="8"/>
  <c r="I38" i="8"/>
  <c r="J38" i="8"/>
  <c r="K38" i="8"/>
  <c r="M38" i="8"/>
  <c r="N38" i="8"/>
  <c r="P38" i="8"/>
  <c r="Q38" i="8"/>
  <c r="V38" i="8"/>
  <c r="Y38" i="8"/>
  <c r="AC38" i="8"/>
  <c r="AD38" i="8"/>
  <c r="AE38" i="8"/>
  <c r="AG38" i="8"/>
  <c r="AH38" i="8"/>
  <c r="AJ39" i="8"/>
  <c r="AK39" i="8"/>
  <c r="AL39" i="8"/>
  <c r="AM39" i="8"/>
  <c r="AN39" i="8"/>
  <c r="AO39" i="8"/>
  <c r="AP39" i="8"/>
  <c r="AJ42" i="8"/>
  <c r="AK42" i="8"/>
  <c r="AL42" i="8"/>
  <c r="AM42" i="8"/>
  <c r="AN42" i="8"/>
  <c r="AO42" i="8"/>
  <c r="AP42" i="8"/>
  <c r="I43" i="8"/>
  <c r="J43" i="8"/>
  <c r="J44" i="8" s="1"/>
  <c r="K43" i="8"/>
  <c r="R43" i="8"/>
  <c r="S43" i="8"/>
  <c r="S44" i="8" s="1"/>
  <c r="U43" i="8"/>
  <c r="U44" i="8" s="1"/>
  <c r="W43" i="8"/>
  <c r="AB43" i="8"/>
  <c r="AB44" i="8" s="1"/>
  <c r="AC43" i="8"/>
  <c r="AP43" i="8"/>
  <c r="C44" i="8"/>
  <c r="F44" i="8"/>
  <c r="G44" i="8"/>
  <c r="H44" i="8"/>
  <c r="I44" i="8"/>
  <c r="L44" i="8"/>
  <c r="N44" i="8"/>
  <c r="P44" i="8"/>
  <c r="Q44" i="8"/>
  <c r="T44" i="8"/>
  <c r="V44" i="8"/>
  <c r="Y44" i="8"/>
  <c r="AD44" i="8"/>
  <c r="AE44" i="8"/>
  <c r="AG44" i="8"/>
  <c r="AH44" i="8"/>
  <c r="AJ45" i="8"/>
  <c r="AK45" i="8"/>
  <c r="AL45" i="8"/>
  <c r="AM45" i="8"/>
  <c r="AN45" i="8"/>
  <c r="AO45" i="8"/>
  <c r="AP45" i="8"/>
  <c r="AJ48" i="8"/>
  <c r="AK48" i="8"/>
  <c r="AL48" i="8"/>
  <c r="AM48" i="8"/>
  <c r="AN48" i="8"/>
  <c r="AO48" i="8"/>
  <c r="AP48" i="8"/>
  <c r="I49" i="8"/>
  <c r="J49" i="8"/>
  <c r="J50" i="8" s="1"/>
  <c r="R49" i="8"/>
  <c r="R50" i="8" s="1"/>
  <c r="S49" i="8"/>
  <c r="S50" i="8" s="1"/>
  <c r="T49" i="8"/>
  <c r="T50" i="8" s="1"/>
  <c r="U49" i="8"/>
  <c r="U50" i="8" s="1"/>
  <c r="W49" i="8"/>
  <c r="W50" i="8" s="1"/>
  <c r="AB49" i="8"/>
  <c r="AK49" i="8" s="1"/>
  <c r="C50" i="8"/>
  <c r="F50" i="8"/>
  <c r="G50" i="8"/>
  <c r="H50" i="8"/>
  <c r="K50" i="8"/>
  <c r="L50" i="8"/>
  <c r="P50" i="8"/>
  <c r="Q50" i="8"/>
  <c r="V50" i="8"/>
  <c r="AC50" i="8"/>
  <c r="AD50" i="8"/>
  <c r="AE50" i="8"/>
  <c r="AG50" i="8"/>
  <c r="AH50" i="8"/>
  <c r="AJ51" i="8"/>
  <c r="AK51" i="8"/>
  <c r="AL51" i="8"/>
  <c r="AM51" i="8"/>
  <c r="AN51" i="8"/>
  <c r="AO51" i="8"/>
  <c r="AP51" i="8"/>
  <c r="AJ54" i="8"/>
  <c r="AK54" i="8"/>
  <c r="AL54" i="8"/>
  <c r="AM54" i="8"/>
  <c r="AN54" i="8"/>
  <c r="AO54" i="8"/>
  <c r="AP54" i="8"/>
  <c r="R55" i="8"/>
  <c r="S55" i="8"/>
  <c r="T55" i="8"/>
  <c r="W55" i="8"/>
  <c r="AB55" i="8"/>
  <c r="AB56" i="8" s="1"/>
  <c r="AN55" i="8"/>
  <c r="AN56" i="8" s="1"/>
  <c r="C56" i="8"/>
  <c r="G56" i="8"/>
  <c r="H56" i="8"/>
  <c r="J56" i="8"/>
  <c r="K56" i="8"/>
  <c r="P56" i="8"/>
  <c r="Q56" i="8"/>
  <c r="R56" i="8"/>
  <c r="V56" i="8"/>
  <c r="AC56" i="8"/>
  <c r="AD56" i="8"/>
  <c r="AE56" i="8"/>
  <c r="AG56" i="8"/>
  <c r="AH56" i="8"/>
  <c r="AJ57" i="8"/>
  <c r="AK57" i="8"/>
  <c r="AL57" i="8"/>
  <c r="AM57" i="8"/>
  <c r="AN57" i="8"/>
  <c r="AO57" i="8"/>
  <c r="AP57" i="8"/>
  <c r="F60" i="8"/>
  <c r="I60" i="8"/>
  <c r="AL60" i="8" s="1"/>
  <c r="U60" i="8"/>
  <c r="U61" i="8" s="1"/>
  <c r="AK60" i="8"/>
  <c r="AO60" i="8"/>
  <c r="AP60" i="8"/>
  <c r="J61" i="8"/>
  <c r="J62" i="8" s="1"/>
  <c r="K61" i="8"/>
  <c r="R61" i="8"/>
  <c r="R62" i="8" s="1"/>
  <c r="S61" i="8"/>
  <c r="S62" i="8"/>
  <c r="T61" i="8"/>
  <c r="W61" i="8"/>
  <c r="W62" i="8" s="1"/>
  <c r="AB61" i="8"/>
  <c r="AC61" i="8"/>
  <c r="C62" i="8"/>
  <c r="G62" i="8"/>
  <c r="H62" i="8"/>
  <c r="P62" i="8"/>
  <c r="Q62" i="8"/>
  <c r="V62" i="8"/>
  <c r="AB62" i="8"/>
  <c r="AD62" i="8"/>
  <c r="AE62" i="8"/>
  <c r="AG62" i="8"/>
  <c r="AH62" i="8"/>
  <c r="AJ63" i="8"/>
  <c r="AK63" i="8"/>
  <c r="AL63" i="8"/>
  <c r="AM63" i="8"/>
  <c r="AN63" i="8"/>
  <c r="AO63" i="8"/>
  <c r="AP63" i="8"/>
  <c r="AJ66" i="8"/>
  <c r="AK66" i="8"/>
  <c r="AL66" i="8"/>
  <c r="AM66" i="8"/>
  <c r="AN66" i="8"/>
  <c r="AO66" i="8"/>
  <c r="AP66" i="8"/>
  <c r="F67" i="8"/>
  <c r="F68" i="8" s="1"/>
  <c r="I67" i="8"/>
  <c r="J67" i="8"/>
  <c r="J68" i="8" s="1"/>
  <c r="K67" i="8"/>
  <c r="K68" i="8" s="1"/>
  <c r="L67" i="8"/>
  <c r="L68" i="8" s="1"/>
  <c r="R67" i="8"/>
  <c r="R68" i="8" s="1"/>
  <c r="S67" i="8"/>
  <c r="S68" i="8" s="1"/>
  <c r="T67" i="8"/>
  <c r="W67" i="8"/>
  <c r="W68" i="8" s="1"/>
  <c r="AB67" i="8"/>
  <c r="AB68" i="8" s="1"/>
  <c r="AC67" i="8"/>
  <c r="AC68" i="8" s="1"/>
  <c r="AI67" i="8"/>
  <c r="AI68" i="8" s="1"/>
  <c r="C68" i="8"/>
  <c r="G68" i="8"/>
  <c r="H68" i="8"/>
  <c r="M68" i="8"/>
  <c r="N68" i="8"/>
  <c r="O68" i="8"/>
  <c r="P68" i="8"/>
  <c r="Q68" i="8"/>
  <c r="U68" i="8"/>
  <c r="V68" i="8"/>
  <c r="Y68" i="8"/>
  <c r="AD68" i="8"/>
  <c r="AE68" i="8"/>
  <c r="AG68" i="8"/>
  <c r="AH68" i="8"/>
  <c r="AJ69" i="8"/>
  <c r="AK69" i="8"/>
  <c r="AL69" i="8"/>
  <c r="AM69" i="8"/>
  <c r="AN69" i="8"/>
  <c r="AO69" i="8"/>
  <c r="AP69" i="8"/>
  <c r="AI72" i="8"/>
  <c r="AJ72" i="8" s="1"/>
  <c r="AK72" i="8"/>
  <c r="AL72" i="8"/>
  <c r="AO72" i="8"/>
  <c r="AP72" i="8"/>
  <c r="F73" i="8"/>
  <c r="F74" i="8" s="1"/>
  <c r="I73" i="8"/>
  <c r="J73" i="8"/>
  <c r="K73" i="8"/>
  <c r="K74" i="8" s="1"/>
  <c r="R73" i="8"/>
  <c r="R74" i="8" s="1"/>
  <c r="S73" i="8"/>
  <c r="T73" i="8"/>
  <c r="U73" i="8"/>
  <c r="U74" i="8" s="1"/>
  <c r="W73" i="8"/>
  <c r="W74" i="8" s="1"/>
  <c r="X73" i="8"/>
  <c r="X74" i="8" s="1"/>
  <c r="AB73" i="8"/>
  <c r="AB74" i="8" s="1"/>
  <c r="AC73" i="8"/>
  <c r="AC74" i="8" s="1"/>
  <c r="C74" i="8"/>
  <c r="G74" i="8"/>
  <c r="H74" i="8"/>
  <c r="M74" i="8"/>
  <c r="N74" i="8"/>
  <c r="O74" i="8"/>
  <c r="P74" i="8"/>
  <c r="Q74" i="8"/>
  <c r="S74" i="8"/>
  <c r="V74" i="8"/>
  <c r="Y74" i="8"/>
  <c r="AD74" i="8"/>
  <c r="AE74" i="8"/>
  <c r="AG74" i="8"/>
  <c r="AH74" i="8"/>
  <c r="AJ75" i="8"/>
  <c r="AK75" i="8"/>
  <c r="AL75" i="8"/>
  <c r="AM75" i="8"/>
  <c r="AN75" i="8"/>
  <c r="AO75" i="8"/>
  <c r="AP75" i="8"/>
  <c r="AJ6" i="4"/>
  <c r="AK6" i="4"/>
  <c r="AL6" i="4"/>
  <c r="AM6" i="4"/>
  <c r="AN6" i="4"/>
  <c r="AO6" i="4"/>
  <c r="AP6" i="4"/>
  <c r="E7" i="4"/>
  <c r="E8" i="4" s="1"/>
  <c r="F7" i="4"/>
  <c r="F8" i="4" s="1"/>
  <c r="M7" i="4"/>
  <c r="R7" i="4"/>
  <c r="S7" i="4"/>
  <c r="S8" i="4" s="1"/>
  <c r="T7" i="4"/>
  <c r="U7" i="4"/>
  <c r="AM7" i="4" s="1"/>
  <c r="AM8" i="4" s="1"/>
  <c r="AB7" i="4"/>
  <c r="AC7" i="4"/>
  <c r="AC8" i="4" s="1"/>
  <c r="C8" i="4"/>
  <c r="G8" i="4"/>
  <c r="H8" i="4"/>
  <c r="I8" i="4"/>
  <c r="J8" i="4"/>
  <c r="L8" i="4"/>
  <c r="O8" i="4"/>
  <c r="P8" i="4"/>
  <c r="Q8" i="4"/>
  <c r="V8" i="4"/>
  <c r="W8" i="4"/>
  <c r="X8" i="4"/>
  <c r="Y8" i="4"/>
  <c r="AD8" i="4"/>
  <c r="AE8" i="4"/>
  <c r="AF8" i="4"/>
  <c r="AG8" i="4"/>
  <c r="AH8" i="4"/>
  <c r="AI8" i="4"/>
  <c r="AJ9" i="4"/>
  <c r="AK9" i="4"/>
  <c r="AL9" i="4"/>
  <c r="AM9" i="4"/>
  <c r="AN9" i="4"/>
  <c r="AO9" i="4"/>
  <c r="AP9" i="4"/>
  <c r="AC12" i="4"/>
  <c r="AL12" i="4"/>
  <c r="AM12" i="4"/>
  <c r="AN12" i="4"/>
  <c r="AP12" i="4"/>
  <c r="AL13" i="4"/>
  <c r="AL14" i="4" s="1"/>
  <c r="AM13" i="4"/>
  <c r="AN13" i="4"/>
  <c r="AN14" i="4" s="1"/>
  <c r="AP13" i="4"/>
  <c r="AP14" i="4" s="1"/>
  <c r="C14" i="4"/>
  <c r="E14" i="4"/>
  <c r="F14" i="4"/>
  <c r="G14" i="4"/>
  <c r="H14" i="4"/>
  <c r="I14" i="4"/>
  <c r="J14" i="4"/>
  <c r="L14" i="4"/>
  <c r="M14" i="4"/>
  <c r="O14" i="4"/>
  <c r="P14" i="4"/>
  <c r="Q14" i="4"/>
  <c r="R14" i="4"/>
  <c r="S14" i="4"/>
  <c r="T14" i="4"/>
  <c r="U14" i="4"/>
  <c r="V14" i="4"/>
  <c r="W14" i="4"/>
  <c r="X14" i="4"/>
  <c r="Y14" i="4"/>
  <c r="AB14" i="4"/>
  <c r="AD14" i="4"/>
  <c r="AE14" i="4"/>
  <c r="AF14" i="4"/>
  <c r="AG14" i="4"/>
  <c r="AH14" i="4"/>
  <c r="AI14" i="4"/>
  <c r="AJ15" i="4"/>
  <c r="AK15" i="4"/>
  <c r="AL15" i="4"/>
  <c r="AM15" i="4"/>
  <c r="AN15" i="4"/>
  <c r="AO15" i="4"/>
  <c r="AP15" i="4"/>
  <c r="AD18" i="4"/>
  <c r="AJ18" i="4" s="1"/>
  <c r="AK18" i="4"/>
  <c r="AL18" i="4"/>
  <c r="AN18" i="4"/>
  <c r="AP18" i="4"/>
  <c r="S19" i="4"/>
  <c r="AB19" i="4"/>
  <c r="AB20" i="4" s="1"/>
  <c r="AC19" i="4"/>
  <c r="AF19" i="4"/>
  <c r="AF20" i="4" s="1"/>
  <c r="AI19" i="4"/>
  <c r="AI20" i="4" s="1"/>
  <c r="AL19" i="4"/>
  <c r="AP19" i="4"/>
  <c r="C20" i="4"/>
  <c r="E20" i="4"/>
  <c r="F20" i="4"/>
  <c r="G20" i="4"/>
  <c r="H20" i="4"/>
  <c r="I20" i="4"/>
  <c r="J20" i="4"/>
  <c r="L20" i="4"/>
  <c r="M20" i="4"/>
  <c r="N20" i="4"/>
  <c r="O20" i="4"/>
  <c r="P20" i="4"/>
  <c r="Q20" i="4"/>
  <c r="R20" i="4"/>
  <c r="T20" i="4"/>
  <c r="U20" i="4"/>
  <c r="V20" i="4"/>
  <c r="W20" i="4"/>
  <c r="X20" i="4"/>
  <c r="Y20" i="4"/>
  <c r="AA20" i="4"/>
  <c r="AE20" i="4"/>
  <c r="AG20" i="4"/>
  <c r="AH20" i="4"/>
  <c r="AJ21" i="4"/>
  <c r="AK21" i="4"/>
  <c r="AL21" i="4"/>
  <c r="AM21" i="4"/>
  <c r="AN21" i="4"/>
  <c r="AO21" i="4"/>
  <c r="AP21" i="4"/>
  <c r="F24" i="4"/>
  <c r="I24" i="4"/>
  <c r="I26" i="4" s="1"/>
  <c r="J24" i="4"/>
  <c r="AC24" i="4"/>
  <c r="AD24" i="4"/>
  <c r="AF24" i="4"/>
  <c r="AF25" i="4" s="1"/>
  <c r="AF26" i="4" s="1"/>
  <c r="AG24" i="4"/>
  <c r="AG26" i="4" s="1"/>
  <c r="AI24" i="4"/>
  <c r="AP24" i="4"/>
  <c r="R25" i="4"/>
  <c r="R26" i="4" s="1"/>
  <c r="S25" i="4"/>
  <c r="S26" i="4" s="1"/>
  <c r="AB25" i="4"/>
  <c r="AB26" i="4" s="1"/>
  <c r="AM25" i="4"/>
  <c r="AN25" i="4"/>
  <c r="AP25" i="4"/>
  <c r="C26" i="4"/>
  <c r="E26" i="4"/>
  <c r="G26" i="4"/>
  <c r="H26" i="4"/>
  <c r="L26" i="4"/>
  <c r="M26" i="4"/>
  <c r="N26" i="4"/>
  <c r="O26" i="4"/>
  <c r="P26" i="4"/>
  <c r="Q26" i="4"/>
  <c r="T26" i="4"/>
  <c r="U26" i="4"/>
  <c r="V26" i="4"/>
  <c r="W26" i="4"/>
  <c r="X26" i="4"/>
  <c r="Y26" i="4"/>
  <c r="AA26" i="4"/>
  <c r="AE26" i="4"/>
  <c r="AH26" i="4"/>
  <c r="AJ27" i="4"/>
  <c r="AK27" i="4"/>
  <c r="AL27" i="4"/>
  <c r="AM27" i="4"/>
  <c r="AN27" i="4"/>
  <c r="AO27" i="4"/>
  <c r="AP27" i="4"/>
  <c r="AJ30" i="4"/>
  <c r="AK30" i="4"/>
  <c r="AL30" i="4"/>
  <c r="AM30" i="4"/>
  <c r="AN30" i="4"/>
  <c r="AO30" i="4"/>
  <c r="AP30" i="4"/>
  <c r="I31" i="4"/>
  <c r="I32" i="4" s="1"/>
  <c r="J31" i="4"/>
  <c r="R31" i="4"/>
  <c r="S31" i="4"/>
  <c r="S32" i="4" s="1"/>
  <c r="T31" i="4"/>
  <c r="AP31" i="4" s="1"/>
  <c r="U31" i="4"/>
  <c r="AM31" i="4" s="1"/>
  <c r="AM32" i="4" s="1"/>
  <c r="AB31" i="4"/>
  <c r="AC31" i="4"/>
  <c r="AC32" i="4" s="1"/>
  <c r="C32" i="4"/>
  <c r="E32" i="4"/>
  <c r="F32" i="4"/>
  <c r="G32" i="4"/>
  <c r="H32" i="4"/>
  <c r="L32" i="4"/>
  <c r="M32" i="4"/>
  <c r="N32" i="4"/>
  <c r="O32" i="4"/>
  <c r="P32" i="4"/>
  <c r="Q32" i="4"/>
  <c r="V32" i="4"/>
  <c r="W32" i="4"/>
  <c r="X32" i="4"/>
  <c r="AA32" i="4"/>
  <c r="AD32" i="4"/>
  <c r="AE32" i="4"/>
  <c r="AG32" i="4"/>
  <c r="AH32" i="4"/>
  <c r="AI32" i="4"/>
  <c r="AJ33" i="4"/>
  <c r="AK33" i="4"/>
  <c r="AL33" i="4"/>
  <c r="AM33" i="4"/>
  <c r="AN33" i="4"/>
  <c r="AO33" i="4"/>
  <c r="AP33" i="4"/>
  <c r="AJ36" i="4"/>
  <c r="AK36" i="4"/>
  <c r="AL36" i="4"/>
  <c r="AM36" i="4"/>
  <c r="AN36" i="4"/>
  <c r="AO36" i="4"/>
  <c r="AP36" i="4"/>
  <c r="I37" i="4"/>
  <c r="I38" i="4" s="1"/>
  <c r="J37" i="4"/>
  <c r="J38" i="4" s="1"/>
  <c r="S37" i="4"/>
  <c r="T37" i="4"/>
  <c r="T38" i="4" s="1"/>
  <c r="AB37" i="4"/>
  <c r="AN37" i="4"/>
  <c r="AN38" i="4" s="1"/>
  <c r="C38" i="4"/>
  <c r="E38" i="4"/>
  <c r="F38" i="4"/>
  <c r="G38" i="4"/>
  <c r="H38" i="4"/>
  <c r="L38" i="4"/>
  <c r="M38" i="4"/>
  <c r="P38" i="4"/>
  <c r="Q38" i="4"/>
  <c r="R38" i="4"/>
  <c r="U38" i="4"/>
  <c r="V38" i="4"/>
  <c r="W38" i="4"/>
  <c r="X38" i="4"/>
  <c r="AC38" i="4"/>
  <c r="AD38" i="4"/>
  <c r="AE38" i="4"/>
  <c r="AF38" i="4"/>
  <c r="AG38" i="4"/>
  <c r="AH38" i="4"/>
  <c r="AI38" i="4"/>
  <c r="AJ39" i="4"/>
  <c r="AK39" i="4"/>
  <c r="AL39" i="4"/>
  <c r="AM39" i="4"/>
  <c r="AN39" i="4"/>
  <c r="AO39" i="4"/>
  <c r="AP39" i="4"/>
  <c r="AJ42" i="4"/>
  <c r="AK42" i="4"/>
  <c r="AL42" i="4"/>
  <c r="AM42" i="4"/>
  <c r="AN42" i="4"/>
  <c r="AO42" i="4"/>
  <c r="AP42" i="4"/>
  <c r="R43" i="4"/>
  <c r="S43" i="4"/>
  <c r="W43" i="4"/>
  <c r="AL43" i="4" s="1"/>
  <c r="AB43" i="4"/>
  <c r="AC43" i="4"/>
  <c r="AC44" i="4" s="1"/>
  <c r="AM43" i="4"/>
  <c r="AN43" i="4"/>
  <c r="AP43" i="4"/>
  <c r="AP44" i="4" s="1"/>
  <c r="C44" i="4"/>
  <c r="E44" i="4"/>
  <c r="F44" i="4"/>
  <c r="G44" i="4"/>
  <c r="H44" i="4"/>
  <c r="I44" i="4"/>
  <c r="J44" i="4"/>
  <c r="L44" i="4"/>
  <c r="M44" i="4"/>
  <c r="P44" i="4"/>
  <c r="Q44" i="4"/>
  <c r="T44" i="4"/>
  <c r="U44" i="4"/>
  <c r="V44" i="4"/>
  <c r="X44" i="4"/>
  <c r="AB44" i="4"/>
  <c r="AD44" i="4"/>
  <c r="AE44" i="4"/>
  <c r="AF44" i="4"/>
  <c r="AG44" i="4"/>
  <c r="AH44" i="4"/>
  <c r="AI44" i="4"/>
  <c r="AJ45" i="4"/>
  <c r="AK45" i="4"/>
  <c r="AL45" i="4"/>
  <c r="AM45" i="4"/>
  <c r="AN45" i="4"/>
  <c r="AO45" i="4"/>
  <c r="AP45" i="4"/>
  <c r="H48" i="4"/>
  <c r="H50" i="4" s="1"/>
  <c r="AK48" i="4"/>
  <c r="AM48" i="4"/>
  <c r="AO48" i="4"/>
  <c r="AP48" i="4"/>
  <c r="R49" i="4"/>
  <c r="S49" i="4"/>
  <c r="T49" i="4"/>
  <c r="T50" i="4" s="1"/>
  <c r="U49" i="4"/>
  <c r="V49" i="4"/>
  <c r="W49" i="4"/>
  <c r="AB49" i="4"/>
  <c r="AB50" i="4" s="1"/>
  <c r="AC49" i="4"/>
  <c r="AC50" i="4" s="1"/>
  <c r="C50" i="4"/>
  <c r="E50" i="4"/>
  <c r="F50" i="4"/>
  <c r="G50" i="4"/>
  <c r="I50" i="4"/>
  <c r="J50" i="4"/>
  <c r="L50" i="4"/>
  <c r="M50" i="4"/>
  <c r="P50" i="4"/>
  <c r="Q50" i="4"/>
  <c r="X50" i="4"/>
  <c r="AD50" i="4"/>
  <c r="AE50" i="4"/>
  <c r="AF50" i="4"/>
  <c r="AG50" i="4"/>
  <c r="AH50" i="4"/>
  <c r="AI50" i="4"/>
  <c r="AJ51" i="4"/>
  <c r="AK51" i="4"/>
  <c r="AL51" i="4"/>
  <c r="AM51" i="4"/>
  <c r="AN51" i="4"/>
  <c r="AO51" i="4"/>
  <c r="AP51" i="4"/>
  <c r="AJ54" i="4"/>
  <c r="AK54" i="4"/>
  <c r="AL54" i="4"/>
  <c r="AM54" i="4"/>
  <c r="AN54" i="4"/>
  <c r="AO54" i="4"/>
  <c r="AP54" i="4"/>
  <c r="S55" i="4"/>
  <c r="W55" i="4"/>
  <c r="W56" i="4" s="1"/>
  <c r="AB55" i="4"/>
  <c r="AM55" i="4"/>
  <c r="AN55" i="4"/>
  <c r="AP55" i="4"/>
  <c r="C56" i="4"/>
  <c r="E56" i="4"/>
  <c r="F56" i="4"/>
  <c r="G56" i="4"/>
  <c r="I56" i="4"/>
  <c r="J56" i="4"/>
  <c r="L56" i="4"/>
  <c r="P56" i="4"/>
  <c r="Q56" i="4"/>
  <c r="R56" i="4"/>
  <c r="T56" i="4"/>
  <c r="U56" i="4"/>
  <c r="V56" i="4"/>
  <c r="X56" i="4"/>
  <c r="AC56" i="4"/>
  <c r="AD56" i="4"/>
  <c r="AE56" i="4"/>
  <c r="AF56" i="4"/>
  <c r="AG56" i="4"/>
  <c r="AH56" i="4"/>
  <c r="AJ57" i="4"/>
  <c r="AK57" i="4"/>
  <c r="AL57" i="4"/>
  <c r="AM57" i="4"/>
  <c r="AN57" i="4"/>
  <c r="AO57" i="4"/>
  <c r="AP57" i="4"/>
  <c r="H60" i="4"/>
  <c r="U60" i="4"/>
  <c r="AM60" i="4" s="1"/>
  <c r="AF60" i="4"/>
  <c r="AK60" i="4" s="1"/>
  <c r="AP60" i="4"/>
  <c r="F61" i="4"/>
  <c r="R61" i="4"/>
  <c r="R62" i="4" s="1"/>
  <c r="S61" i="4"/>
  <c r="S62" i="4" s="1"/>
  <c r="V61" i="4"/>
  <c r="V62" i="4" s="1"/>
  <c r="AB61" i="4"/>
  <c r="AB62" i="4" s="1"/>
  <c r="AP61" i="4"/>
  <c r="C62" i="4"/>
  <c r="G62" i="4"/>
  <c r="I62" i="4"/>
  <c r="J62" i="4"/>
  <c r="L62" i="4"/>
  <c r="M62" i="4"/>
  <c r="P62" i="4"/>
  <c r="Q62" i="4"/>
  <c r="T62" i="4"/>
  <c r="W62" i="4"/>
  <c r="X62" i="4"/>
  <c r="AC62" i="4"/>
  <c r="AD62" i="4"/>
  <c r="AE62" i="4"/>
  <c r="AG62" i="4"/>
  <c r="AH62" i="4"/>
  <c r="AJ63" i="4"/>
  <c r="AK63" i="4"/>
  <c r="AL63" i="4"/>
  <c r="AM63" i="4"/>
  <c r="AN63" i="4"/>
  <c r="AO63" i="4"/>
  <c r="AP63" i="4"/>
  <c r="AJ66" i="4"/>
  <c r="AK66" i="4"/>
  <c r="AL66" i="4"/>
  <c r="AM66" i="4"/>
  <c r="AN66" i="4"/>
  <c r="AO66" i="4"/>
  <c r="AP66" i="4"/>
  <c r="H67" i="4"/>
  <c r="AN67" i="4" s="1"/>
  <c r="I67" i="4"/>
  <c r="I68" i="4" s="1"/>
  <c r="J67" i="4"/>
  <c r="R67" i="4"/>
  <c r="S67" i="4"/>
  <c r="S68" i="4" s="1"/>
  <c r="T67" i="4"/>
  <c r="T68" i="4" s="1"/>
  <c r="W67" i="4"/>
  <c r="W68" i="4" s="1"/>
  <c r="AB67" i="4"/>
  <c r="C68" i="4"/>
  <c r="E68" i="4"/>
  <c r="F68" i="4"/>
  <c r="G68" i="4"/>
  <c r="L68" i="4"/>
  <c r="M68" i="4"/>
  <c r="O68" i="4"/>
  <c r="P68" i="4"/>
  <c r="Q68" i="4"/>
  <c r="U68" i="4"/>
  <c r="V68" i="4"/>
  <c r="X68" i="4"/>
  <c r="Y68" i="4"/>
  <c r="AC68" i="4"/>
  <c r="AD68" i="4"/>
  <c r="AE68" i="4"/>
  <c r="AF68" i="4"/>
  <c r="AG68" i="4"/>
  <c r="AH68" i="4"/>
  <c r="AI68" i="4"/>
  <c r="AJ69" i="4"/>
  <c r="AK69" i="4"/>
  <c r="AL69" i="4"/>
  <c r="AM69" i="4"/>
  <c r="AN69" i="4"/>
  <c r="AO69" i="4"/>
  <c r="AP69" i="4"/>
  <c r="H72" i="4"/>
  <c r="W72" i="4"/>
  <c r="W73" i="4" s="1"/>
  <c r="W74" i="4" s="1"/>
  <c r="AF72" i="4"/>
  <c r="AM72" i="4"/>
  <c r="AP72" i="4"/>
  <c r="F73" i="4"/>
  <c r="I73" i="4"/>
  <c r="I74" i="4" s="1"/>
  <c r="R73" i="4"/>
  <c r="R74" i="4" s="1"/>
  <c r="S73" i="4"/>
  <c r="S74" i="4" s="1"/>
  <c r="T73" i="4"/>
  <c r="AP73" i="4" s="1"/>
  <c r="U73" i="4"/>
  <c r="U74" i="4" s="1"/>
  <c r="AB73" i="4"/>
  <c r="AB74" i="4" s="1"/>
  <c r="C74" i="4"/>
  <c r="E74" i="4"/>
  <c r="G74" i="4"/>
  <c r="J74" i="4"/>
  <c r="L74" i="4"/>
  <c r="M74" i="4"/>
  <c r="O74" i="4"/>
  <c r="P74" i="4"/>
  <c r="Q74" i="4"/>
  <c r="T74" i="4"/>
  <c r="V74" i="4"/>
  <c r="X74" i="4"/>
  <c r="Y74" i="4"/>
  <c r="AC74" i="4"/>
  <c r="AD74" i="4"/>
  <c r="AE74" i="4"/>
  <c r="AG74" i="4"/>
  <c r="AH74" i="4"/>
  <c r="AI74" i="4"/>
  <c r="AJ75" i="4"/>
  <c r="AK75" i="4"/>
  <c r="AL75" i="4"/>
  <c r="AM75" i="4"/>
  <c r="AN75" i="4"/>
  <c r="AO75" i="4"/>
  <c r="AP75" i="4"/>
  <c r="AJ6" i="1"/>
  <c r="AK6" i="1"/>
  <c r="AL6" i="1"/>
  <c r="AM6" i="1"/>
  <c r="AN6" i="1"/>
  <c r="AO6" i="1"/>
  <c r="AP6" i="1"/>
  <c r="O7" i="1"/>
  <c r="AK7" i="1"/>
  <c r="AM7" i="1"/>
  <c r="AN7" i="1"/>
  <c r="AP7" i="1"/>
  <c r="D8" i="1"/>
  <c r="G8" i="1"/>
  <c r="H8" i="1"/>
  <c r="I8" i="1"/>
  <c r="J8" i="1"/>
  <c r="K8" i="1"/>
  <c r="N8" i="1"/>
  <c r="P8" i="1"/>
  <c r="Q8" i="1"/>
  <c r="R8" i="1"/>
  <c r="S8" i="1"/>
  <c r="W8" i="1"/>
  <c r="Y8" i="1"/>
  <c r="AB8" i="1"/>
  <c r="AC8" i="1"/>
  <c r="AD8" i="1"/>
  <c r="AE8" i="1"/>
  <c r="AG8" i="1"/>
  <c r="AI8" i="1"/>
  <c r="AJ9" i="1"/>
  <c r="AK9" i="1"/>
  <c r="AL9" i="1"/>
  <c r="AM9" i="1"/>
  <c r="AN9" i="1"/>
  <c r="AO9" i="1"/>
  <c r="AP9" i="1"/>
  <c r="AF12" i="1"/>
  <c r="AJ12" i="1" s="1"/>
  <c r="AL12" i="1"/>
  <c r="AM12" i="1"/>
  <c r="AN12" i="1"/>
  <c r="AP12" i="1"/>
  <c r="AJ13" i="1"/>
  <c r="AK13" i="1"/>
  <c r="AL13" i="1"/>
  <c r="AM13" i="1"/>
  <c r="AN13" i="1"/>
  <c r="AO13" i="1"/>
  <c r="AP13" i="1"/>
  <c r="D14" i="1"/>
  <c r="G14" i="1"/>
  <c r="H14" i="1"/>
  <c r="I14" i="1"/>
  <c r="J14" i="1"/>
  <c r="K14" i="1"/>
  <c r="N14" i="1"/>
  <c r="O14" i="1"/>
  <c r="P14" i="1"/>
  <c r="Q14" i="1"/>
  <c r="R14" i="1"/>
  <c r="S14" i="1"/>
  <c r="W14" i="1"/>
  <c r="Y14" i="1"/>
  <c r="AB14" i="1"/>
  <c r="AC14" i="1"/>
  <c r="AD14" i="1"/>
  <c r="AE14" i="1"/>
  <c r="AG14" i="1"/>
  <c r="AI14" i="1"/>
  <c r="V17" i="1"/>
  <c r="AD17" i="1"/>
  <c r="AD19" i="1" s="1"/>
  <c r="AK17" i="1"/>
  <c r="AL17" i="1"/>
  <c r="AP17" i="1"/>
  <c r="O18" i="1"/>
  <c r="O19" i="1" s="1"/>
  <c r="S18" i="1"/>
  <c r="AF18" i="1"/>
  <c r="AI18" i="1"/>
  <c r="AI19" i="1" s="1"/>
  <c r="AP18" i="1"/>
  <c r="D19" i="1"/>
  <c r="G19" i="1"/>
  <c r="H19" i="1"/>
  <c r="I19" i="1"/>
  <c r="J19" i="1"/>
  <c r="K19" i="1"/>
  <c r="N19" i="1"/>
  <c r="P19" i="1"/>
  <c r="Q19" i="1"/>
  <c r="W19" i="1"/>
  <c r="X19" i="1"/>
  <c r="Y19" i="1"/>
  <c r="AB19" i="1"/>
  <c r="AC19" i="1"/>
  <c r="AE19" i="1"/>
  <c r="AG19" i="1"/>
  <c r="AJ20" i="1"/>
  <c r="AK20" i="1"/>
  <c r="AL20" i="1"/>
  <c r="AM20" i="1"/>
  <c r="AN20" i="1"/>
  <c r="AO20" i="1"/>
  <c r="AP20" i="1"/>
  <c r="G23" i="1"/>
  <c r="Q23" i="1"/>
  <c r="U23" i="1"/>
  <c r="V23" i="1"/>
  <c r="AB23" i="1"/>
  <c r="AF23" i="1"/>
  <c r="AF24" i="1" s="1"/>
  <c r="AF25" i="1" s="1"/>
  <c r="AG23" i="1"/>
  <c r="AG25" i="1" s="1"/>
  <c r="O24" i="1"/>
  <c r="AB24" i="1"/>
  <c r="D25" i="1"/>
  <c r="H25" i="1"/>
  <c r="I25" i="1"/>
  <c r="J25" i="1"/>
  <c r="K25" i="1"/>
  <c r="M25" i="1"/>
  <c r="N25" i="1"/>
  <c r="P25" i="1"/>
  <c r="S25" i="1"/>
  <c r="W25" i="1"/>
  <c r="X25" i="1"/>
  <c r="Y25" i="1"/>
  <c r="AC25" i="1"/>
  <c r="AD25" i="1"/>
  <c r="AE25" i="1"/>
  <c r="AI25" i="1"/>
  <c r="AJ26" i="1"/>
  <c r="AK26" i="1"/>
  <c r="AL26" i="1"/>
  <c r="AM26" i="1"/>
  <c r="AN26" i="1"/>
  <c r="AO26" i="1"/>
  <c r="AP26" i="1"/>
  <c r="T29" i="1"/>
  <c r="U29" i="1"/>
  <c r="AA29" i="1"/>
  <c r="AA31" i="1" s="1"/>
  <c r="AL29" i="1"/>
  <c r="AN29" i="1"/>
  <c r="J30" i="1"/>
  <c r="J31" i="1" s="1"/>
  <c r="K30" i="1"/>
  <c r="O30" i="1"/>
  <c r="O31" i="1" s="1"/>
  <c r="S30" i="1"/>
  <c r="S31" i="1" s="1"/>
  <c r="AC30" i="1"/>
  <c r="AF30" i="1"/>
  <c r="AF31" i="1" s="1"/>
  <c r="AM30" i="1"/>
  <c r="AN30" i="1"/>
  <c r="AN31" i="1" s="1"/>
  <c r="AP30" i="1"/>
  <c r="D31" i="1"/>
  <c r="G31" i="1"/>
  <c r="H31" i="1"/>
  <c r="I31" i="1"/>
  <c r="M31" i="1"/>
  <c r="N31" i="1"/>
  <c r="P31" i="1"/>
  <c r="Q31" i="1"/>
  <c r="R31" i="1"/>
  <c r="V31" i="1"/>
  <c r="W31" i="1"/>
  <c r="X31" i="1"/>
  <c r="Y31" i="1"/>
  <c r="AB31" i="1"/>
  <c r="AD31" i="1"/>
  <c r="AE31" i="1"/>
  <c r="AG31" i="1"/>
  <c r="AI31" i="1"/>
  <c r="AJ32" i="1"/>
  <c r="AK32" i="1"/>
  <c r="AL32" i="1"/>
  <c r="AM32" i="1"/>
  <c r="AN32" i="1"/>
  <c r="AO32" i="1"/>
  <c r="AP32" i="1"/>
  <c r="T35" i="1"/>
  <c r="AA35" i="1"/>
  <c r="AM35" i="1" s="1"/>
  <c r="AF35" i="1"/>
  <c r="AL35" i="1"/>
  <c r="AN35" i="1"/>
  <c r="O36" i="1"/>
  <c r="S36" i="1"/>
  <c r="S37" i="1" s="1"/>
  <c r="AB36" i="1"/>
  <c r="AB37" i="1" s="1"/>
  <c r="AC36" i="1"/>
  <c r="AE36" i="1"/>
  <c r="AE37" i="1" s="1"/>
  <c r="AM36" i="1"/>
  <c r="AN36" i="1"/>
  <c r="AP36" i="1"/>
  <c r="D37" i="1"/>
  <c r="G37" i="1"/>
  <c r="H37" i="1"/>
  <c r="I37" i="1"/>
  <c r="J37" i="1"/>
  <c r="K37" i="1"/>
  <c r="M37" i="1"/>
  <c r="N37" i="1"/>
  <c r="P37" i="1"/>
  <c r="Q37" i="1"/>
  <c r="R37" i="1"/>
  <c r="U37" i="1"/>
  <c r="V37" i="1"/>
  <c r="W37" i="1"/>
  <c r="X37" i="1"/>
  <c r="Y37" i="1"/>
  <c r="AD37" i="1"/>
  <c r="AG37" i="1"/>
  <c r="AI37" i="1"/>
  <c r="AJ38" i="1"/>
  <c r="AK38" i="1"/>
  <c r="AL38" i="1"/>
  <c r="AM38" i="1"/>
  <c r="AN38" i="1"/>
  <c r="AO38" i="1"/>
  <c r="AP38" i="1"/>
  <c r="AJ41" i="1"/>
  <c r="AK41" i="1"/>
  <c r="AL41" i="1"/>
  <c r="AM41" i="1"/>
  <c r="AN41" i="1"/>
  <c r="AO41" i="1"/>
  <c r="AP41" i="1"/>
  <c r="O42" i="1"/>
  <c r="AL42" i="1" s="1"/>
  <c r="S42" i="1"/>
  <c r="S43" i="1" s="1"/>
  <c r="T42" i="1"/>
  <c r="T43" i="1" s="1"/>
  <c r="AC42" i="1"/>
  <c r="AF42" i="1"/>
  <c r="AF43" i="1" s="1"/>
  <c r="AM42" i="1"/>
  <c r="AN42" i="1"/>
  <c r="AP42" i="1"/>
  <c r="D43" i="1"/>
  <c r="G43" i="1"/>
  <c r="H43" i="1"/>
  <c r="I43" i="1"/>
  <c r="J43" i="1"/>
  <c r="K43" i="1"/>
  <c r="M43" i="1"/>
  <c r="N43" i="1"/>
  <c r="O43" i="1"/>
  <c r="P43" i="1"/>
  <c r="Q43" i="1"/>
  <c r="R43" i="1"/>
  <c r="U43" i="1"/>
  <c r="V43" i="1"/>
  <c r="W43" i="1"/>
  <c r="X43" i="1"/>
  <c r="Y43" i="1"/>
  <c r="AA43" i="1"/>
  <c r="AB43" i="1"/>
  <c r="AD43" i="1"/>
  <c r="AE43" i="1"/>
  <c r="AG43" i="1"/>
  <c r="AI43" i="1"/>
  <c r="AP43" i="1"/>
  <c r="AJ44" i="1"/>
  <c r="AK44" i="1"/>
  <c r="AL44" i="1"/>
  <c r="AM44" i="1"/>
  <c r="AN44" i="1"/>
  <c r="AO44" i="1"/>
  <c r="AP44" i="1"/>
  <c r="F47" i="1"/>
  <c r="AO47" i="1" s="1"/>
  <c r="AK47" i="1"/>
  <c r="AM47" i="1"/>
  <c r="AN47" i="1"/>
  <c r="AP47" i="1"/>
  <c r="S48" i="1"/>
  <c r="S49" i="1" s="1"/>
  <c r="T48" i="1"/>
  <c r="T49" i="1" s="1"/>
  <c r="AB48" i="1"/>
  <c r="AC48" i="1"/>
  <c r="AC49" i="1" s="1"/>
  <c r="AF48" i="1"/>
  <c r="AF49" i="1" s="1"/>
  <c r="AM48" i="1"/>
  <c r="AM49" i="1" s="1"/>
  <c r="AN48" i="1"/>
  <c r="AN49" i="1" s="1"/>
  <c r="AP48" i="1"/>
  <c r="AP49" i="1" s="1"/>
  <c r="D49" i="1"/>
  <c r="G49" i="1"/>
  <c r="H49" i="1"/>
  <c r="I49" i="1"/>
  <c r="J49" i="1"/>
  <c r="K49" i="1"/>
  <c r="M49" i="1"/>
  <c r="N49" i="1"/>
  <c r="O49" i="1"/>
  <c r="Q49" i="1"/>
  <c r="R49" i="1"/>
  <c r="U49" i="1"/>
  <c r="V49" i="1"/>
  <c r="W49" i="1"/>
  <c r="X49" i="1"/>
  <c r="AD49" i="1"/>
  <c r="AE49" i="1"/>
  <c r="AG49" i="1"/>
  <c r="AI49" i="1"/>
  <c r="AJ50" i="1"/>
  <c r="AK50" i="1"/>
  <c r="AL50" i="1"/>
  <c r="AM50" i="1"/>
  <c r="AN50" i="1"/>
  <c r="AO50" i="1"/>
  <c r="AP50" i="1"/>
  <c r="AJ53" i="1"/>
  <c r="AK53" i="1"/>
  <c r="AL53" i="1"/>
  <c r="AM53" i="1"/>
  <c r="AN53" i="1"/>
  <c r="AO53" i="1"/>
  <c r="AP53" i="1"/>
  <c r="G54" i="1"/>
  <c r="J54" i="1"/>
  <c r="K54" i="1"/>
  <c r="S54" i="1"/>
  <c r="S55" i="1" s="1"/>
  <c r="T54" i="1"/>
  <c r="T55" i="1" s="1"/>
  <c r="V54" i="1"/>
  <c r="AB54" i="1"/>
  <c r="AC54" i="1"/>
  <c r="AC55" i="1" s="1"/>
  <c r="AF54" i="1"/>
  <c r="AF55" i="1" s="1"/>
  <c r="AP54" i="1"/>
  <c r="D55" i="1"/>
  <c r="F55" i="1"/>
  <c r="H55" i="1"/>
  <c r="I55" i="1"/>
  <c r="M55" i="1"/>
  <c r="N55" i="1"/>
  <c r="O55" i="1"/>
  <c r="Q55" i="1"/>
  <c r="R55" i="1"/>
  <c r="U55" i="1"/>
  <c r="W55" i="1"/>
  <c r="X55" i="1"/>
  <c r="AB55" i="1"/>
  <c r="AD55" i="1"/>
  <c r="AE55" i="1"/>
  <c r="AG55" i="1"/>
  <c r="AI55" i="1"/>
  <c r="AJ56" i="1"/>
  <c r="AK56" i="1"/>
  <c r="AL56" i="1"/>
  <c r="AM56" i="1"/>
  <c r="AN56" i="1"/>
  <c r="AO56" i="1"/>
  <c r="AP56" i="1"/>
  <c r="AJ59" i="1"/>
  <c r="AK59" i="1"/>
  <c r="AL59" i="1"/>
  <c r="AM59" i="1"/>
  <c r="AN59" i="1"/>
  <c r="AO59" i="1"/>
  <c r="AP59" i="1"/>
  <c r="S60" i="1"/>
  <c r="T60" i="1"/>
  <c r="T61" i="1" s="1"/>
  <c r="U60" i="1"/>
  <c r="AP60" i="1" s="1"/>
  <c r="AP61" i="1" s="1"/>
  <c r="AB60" i="1"/>
  <c r="AB61" i="1" s="1"/>
  <c r="AC60" i="1"/>
  <c r="AF60" i="1"/>
  <c r="AF61" i="1" s="1"/>
  <c r="AN60" i="1"/>
  <c r="D61" i="1"/>
  <c r="F61" i="1"/>
  <c r="G61" i="1"/>
  <c r="H61" i="1"/>
  <c r="I61" i="1"/>
  <c r="J61" i="1"/>
  <c r="K61" i="1"/>
  <c r="M61" i="1"/>
  <c r="N61" i="1"/>
  <c r="O61" i="1"/>
  <c r="Q61" i="1"/>
  <c r="R61" i="1"/>
  <c r="V61" i="1"/>
  <c r="W61" i="1"/>
  <c r="X61" i="1"/>
  <c r="AD61" i="1"/>
  <c r="AE61" i="1"/>
  <c r="AG61" i="1"/>
  <c r="AI61" i="1"/>
  <c r="AJ62" i="1"/>
  <c r="AK62" i="1"/>
  <c r="AL62" i="1"/>
  <c r="AM62" i="1"/>
  <c r="AN62" i="1"/>
  <c r="AO62" i="1"/>
  <c r="AP62" i="1"/>
  <c r="C65" i="1"/>
  <c r="C66" i="1" s="1"/>
  <c r="U65" i="1"/>
  <c r="U66" i="1" s="1"/>
  <c r="U67" i="1" s="1"/>
  <c r="AD65" i="1"/>
  <c r="AK65" i="1"/>
  <c r="AL65" i="1"/>
  <c r="AN65" i="1"/>
  <c r="T66" i="1"/>
  <c r="V66" i="1"/>
  <c r="AC66" i="1"/>
  <c r="AC67" i="1" s="1"/>
  <c r="AF66" i="1"/>
  <c r="AF67" i="1" s="1"/>
  <c r="AL66" i="1"/>
  <c r="D67" i="1"/>
  <c r="F67" i="1"/>
  <c r="G67" i="1"/>
  <c r="H67" i="1"/>
  <c r="J67" i="1"/>
  <c r="K67" i="1"/>
  <c r="M67" i="1"/>
  <c r="O67" i="1"/>
  <c r="Q67" i="1"/>
  <c r="R67" i="1"/>
  <c r="S67" i="1"/>
  <c r="W67" i="1"/>
  <c r="X67" i="1"/>
  <c r="AB67" i="1"/>
  <c r="AE67" i="1"/>
  <c r="AG67" i="1"/>
  <c r="AJ68" i="1"/>
  <c r="AK68" i="1"/>
  <c r="AL68" i="1"/>
  <c r="AM68" i="1"/>
  <c r="AN68" i="1"/>
  <c r="AO68" i="1"/>
  <c r="AP68" i="1"/>
  <c r="AC71" i="1"/>
  <c r="AL71" i="1"/>
  <c r="AM71" i="1"/>
  <c r="AN71" i="1"/>
  <c r="AP71" i="1"/>
  <c r="F72" i="1"/>
  <c r="F73" i="1" s="1"/>
  <c r="G72" i="1"/>
  <c r="G73" i="1" s="1"/>
  <c r="J72" i="1"/>
  <c r="J73" i="1" s="1"/>
  <c r="K72" i="1"/>
  <c r="Q72" i="1"/>
  <c r="S72" i="1"/>
  <c r="S73" i="1" s="1"/>
  <c r="T72" i="1"/>
  <c r="T73" i="1" s="1"/>
  <c r="U72" i="1"/>
  <c r="V72" i="1"/>
  <c r="V73" i="1" s="1"/>
  <c r="AB72" i="1"/>
  <c r="AB73" i="1" s="1"/>
  <c r="AF72" i="1"/>
  <c r="AF73" i="1" s="1"/>
  <c r="C73" i="1"/>
  <c r="D73" i="1"/>
  <c r="H73" i="1"/>
  <c r="I73" i="1"/>
  <c r="M73" i="1"/>
  <c r="O73" i="1"/>
  <c r="R73" i="1"/>
  <c r="W73" i="1"/>
  <c r="X73" i="1"/>
  <c r="AD73" i="1"/>
  <c r="AE73" i="1"/>
  <c r="AG73" i="1"/>
  <c r="AH73" i="1"/>
  <c r="AJ74" i="1"/>
  <c r="AK74" i="1"/>
  <c r="AL74" i="1"/>
  <c r="AM74" i="1"/>
  <c r="AN74" i="1"/>
  <c r="AO74" i="1"/>
  <c r="AP74" i="1"/>
  <c r="G77" i="1"/>
  <c r="AC77" i="1"/>
  <c r="AM77" i="1"/>
  <c r="AP77" i="1"/>
  <c r="F78" i="1"/>
  <c r="J78" i="1"/>
  <c r="J79" i="1" s="1"/>
  <c r="K78" i="1"/>
  <c r="K79" i="1" s="1"/>
  <c r="S78" i="1"/>
  <c r="S79" i="1" s="1"/>
  <c r="T78" i="1"/>
  <c r="U78" i="1"/>
  <c r="V78" i="1"/>
  <c r="V79" i="1" s="1"/>
  <c r="AB78" i="1"/>
  <c r="AB79" i="1" s="1"/>
  <c r="C79" i="1"/>
  <c r="D79" i="1"/>
  <c r="H79" i="1"/>
  <c r="I79" i="1"/>
  <c r="M79" i="1"/>
  <c r="N79" i="1"/>
  <c r="O79" i="1"/>
  <c r="Q79" i="1"/>
  <c r="R79" i="1"/>
  <c r="W79" i="1"/>
  <c r="X79" i="1"/>
  <c r="Y79" i="1"/>
  <c r="AD79" i="1"/>
  <c r="AE79" i="1"/>
  <c r="AF79" i="1"/>
  <c r="AG79" i="1"/>
  <c r="AH79" i="1"/>
  <c r="AI79" i="1"/>
  <c r="AJ80" i="1"/>
  <c r="AK80" i="1"/>
  <c r="AL80" i="1"/>
  <c r="AM80" i="1"/>
  <c r="AN80" i="1"/>
  <c r="AO80" i="1"/>
  <c r="AP80" i="1"/>
  <c r="N83" i="1"/>
  <c r="AN83" i="1" s="1"/>
  <c r="AC83" i="1"/>
  <c r="AM83" i="1"/>
  <c r="AP83" i="1"/>
  <c r="G84" i="1"/>
  <c r="G85" i="1" s="1"/>
  <c r="J84" i="1"/>
  <c r="S84" i="1"/>
  <c r="S85" i="1" s="1"/>
  <c r="T84" i="1"/>
  <c r="AK84" i="1" s="1"/>
  <c r="U84" i="1"/>
  <c r="U85" i="1" s="1"/>
  <c r="V84" i="1"/>
  <c r="V85" i="1" s="1"/>
  <c r="C85" i="1"/>
  <c r="D85" i="1"/>
  <c r="F85" i="1"/>
  <c r="H85" i="1"/>
  <c r="I85" i="1"/>
  <c r="K85" i="1"/>
  <c r="M85" i="1"/>
  <c r="O85" i="1"/>
  <c r="P85" i="1"/>
  <c r="Q85" i="1"/>
  <c r="R85" i="1"/>
  <c r="T85" i="1"/>
  <c r="W85" i="1"/>
  <c r="X85" i="1"/>
  <c r="Y85" i="1"/>
  <c r="AB85" i="1"/>
  <c r="AD85" i="1"/>
  <c r="AE85" i="1"/>
  <c r="AF85" i="1"/>
  <c r="AG85" i="1"/>
  <c r="AH85" i="1"/>
  <c r="AI85" i="1"/>
  <c r="AJ86" i="1"/>
  <c r="AK86" i="1"/>
  <c r="AL86" i="1"/>
  <c r="AM86" i="1"/>
  <c r="AN86" i="1"/>
  <c r="AO86" i="1"/>
  <c r="AP86" i="1"/>
  <c r="G78" i="13"/>
  <c r="U26" i="13"/>
  <c r="AM23" i="1"/>
  <c r="AK67" i="8"/>
  <c r="AK68" i="8" s="1"/>
  <c r="AI42" i="12"/>
  <c r="AH26" i="12"/>
  <c r="AN30" i="13"/>
  <c r="T32" i="4"/>
  <c r="AM24" i="12"/>
  <c r="AI31" i="13"/>
  <c r="AL55" i="4"/>
  <c r="AL56" i="4" s="1"/>
  <c r="AP37" i="4"/>
  <c r="AP38" i="4" s="1"/>
  <c r="S56" i="8"/>
  <c r="AC44" i="10"/>
  <c r="E13" i="12"/>
  <c r="E14" i="12" s="1"/>
  <c r="AN49" i="4"/>
  <c r="J32" i="4"/>
  <c r="AA20" i="12"/>
  <c r="AP7" i="4"/>
  <c r="T8" i="4"/>
  <c r="AK54" i="12"/>
  <c r="AE56" i="12"/>
  <c r="AM54" i="12"/>
  <c r="E56" i="12"/>
  <c r="S8" i="13"/>
  <c r="R44" i="4"/>
  <c r="F13" i="11"/>
  <c r="F14" i="11" s="1"/>
  <c r="S13" i="12"/>
  <c r="S77" i="12"/>
  <c r="U73" i="1"/>
  <c r="AB38" i="8"/>
  <c r="AK37" i="8"/>
  <c r="R50" i="10"/>
  <c r="AI48" i="12"/>
  <c r="AK48" i="12"/>
  <c r="Y50" i="12"/>
  <c r="AM48" i="12"/>
  <c r="AQ48" i="12" s="1"/>
  <c r="AB14" i="10"/>
  <c r="AM61" i="11"/>
  <c r="AM62" i="11" s="1"/>
  <c r="S20" i="13"/>
  <c r="R44" i="8"/>
  <c r="AP6" i="10"/>
  <c r="B8" i="10"/>
  <c r="C68" i="11"/>
  <c r="I62" i="11"/>
  <c r="AK60" i="11"/>
  <c r="AO60" i="11"/>
  <c r="AQ55" i="11"/>
  <c r="AQ56" i="11" s="1"/>
  <c r="V61" i="12"/>
  <c r="V62" i="12" s="1"/>
  <c r="J8" i="12"/>
  <c r="AM14" i="4"/>
  <c r="J74" i="8"/>
  <c r="AQ49" i="10"/>
  <c r="AK49" i="10"/>
  <c r="AJ50" i="11"/>
  <c r="AM37" i="13"/>
  <c r="AM38" i="13" s="1"/>
  <c r="V38" i="13"/>
  <c r="AK37" i="13"/>
  <c r="AK38" i="13" s="1"/>
  <c r="AC14" i="13"/>
  <c r="AM72" i="8"/>
  <c r="B26" i="11"/>
  <c r="R74" i="12"/>
  <c r="G77" i="12"/>
  <c r="G79" i="12" s="1"/>
  <c r="AK24" i="4"/>
  <c r="AT6" i="10"/>
  <c r="AQ67" i="11"/>
  <c r="AJ67" i="12"/>
  <c r="AJ68" i="12" s="1"/>
  <c r="AI6" i="13"/>
  <c r="AL24" i="11"/>
  <c r="AO50" i="12"/>
  <c r="AI6" i="12"/>
  <c r="AN37" i="13"/>
  <c r="AN38" i="13" s="1"/>
  <c r="AK32" i="13"/>
  <c r="AJ14" i="1"/>
  <c r="J85" i="1"/>
  <c r="Q25" i="1"/>
  <c r="AC20" i="4"/>
  <c r="R38" i="8"/>
  <c r="AO30" i="8"/>
  <c r="AJ26" i="11"/>
  <c r="U26" i="11"/>
  <c r="M8" i="4"/>
  <c r="T32" i="8"/>
  <c r="AN77" i="1"/>
  <c r="AO65" i="1"/>
  <c r="G55" i="1"/>
  <c r="AO17" i="1"/>
  <c r="AO12" i="1"/>
  <c r="AK12" i="1"/>
  <c r="H62" i="4"/>
  <c r="AD26" i="4"/>
  <c r="AL37" i="8"/>
  <c r="R74" i="10"/>
  <c r="AN54" i="1"/>
  <c r="AN55" i="1" s="1"/>
  <c r="AF14" i="1"/>
  <c r="R68" i="4"/>
  <c r="R50" i="4"/>
  <c r="F26" i="4"/>
  <c r="AP73" i="8"/>
  <c r="T74" i="8"/>
  <c r="AN61" i="8"/>
  <c r="U62" i="8"/>
  <c r="AF74" i="10"/>
  <c r="K26" i="10"/>
  <c r="AM7" i="10"/>
  <c r="I20" i="8"/>
  <c r="J8" i="8"/>
  <c r="AP54" i="10"/>
  <c r="AS54" i="10" s="1"/>
  <c r="AQ37" i="10"/>
  <c r="AQ38" i="10" s="1"/>
  <c r="AP36" i="10"/>
  <c r="AF38" i="10"/>
  <c r="T14" i="10"/>
  <c r="AN72" i="8"/>
  <c r="U38" i="10"/>
  <c r="B14" i="10"/>
  <c r="AM72" i="11"/>
  <c r="X73" i="11"/>
  <c r="AO49" i="11"/>
  <c r="AO50" i="11" s="1"/>
  <c r="X50" i="11"/>
  <c r="C50" i="11"/>
  <c r="AM49" i="11"/>
  <c r="AM50" i="11" s="1"/>
  <c r="Q25" i="11"/>
  <c r="Q26" i="11" s="1"/>
  <c r="U13" i="11"/>
  <c r="I14" i="11"/>
  <c r="AN49" i="12"/>
  <c r="AN50" i="12" s="1"/>
  <c r="J50" i="12"/>
  <c r="AC56" i="11"/>
  <c r="G56" i="11"/>
  <c r="X32" i="11"/>
  <c r="AP18" i="11"/>
  <c r="C26" i="10"/>
  <c r="R20" i="10"/>
  <c r="AM18" i="10"/>
  <c r="H68" i="11"/>
  <c r="AO61" i="11"/>
  <c r="AN55" i="11"/>
  <c r="AN18" i="11"/>
  <c r="AO72" i="11"/>
  <c r="AP43" i="11"/>
  <c r="U62" i="12"/>
  <c r="AO61" i="12"/>
  <c r="T56" i="12"/>
  <c r="AJ55" i="12"/>
  <c r="F56" i="12"/>
  <c r="AM43" i="11"/>
  <c r="C32" i="11"/>
  <c r="C20" i="11"/>
  <c r="AI60" i="12"/>
  <c r="AE62" i="12"/>
  <c r="AN60" i="12"/>
  <c r="T44" i="12"/>
  <c r="AL43" i="12"/>
  <c r="AL44" i="12" s="1"/>
  <c r="AA78" i="12"/>
  <c r="AN37" i="12"/>
  <c r="AJ31" i="12"/>
  <c r="AJ32" i="12" s="1"/>
  <c r="E32" i="12"/>
  <c r="AK72" i="12"/>
  <c r="AM72" i="12"/>
  <c r="AJ54" i="12"/>
  <c r="T77" i="12"/>
  <c r="AI30" i="12"/>
  <c r="AB8" i="11"/>
  <c r="C8" i="11"/>
  <c r="Y73" i="12"/>
  <c r="E74" i="12"/>
  <c r="AI43" i="12"/>
  <c r="E67" i="12"/>
  <c r="AM66" i="12"/>
  <c r="AC26" i="12"/>
  <c r="C26" i="12"/>
  <c r="C20" i="12"/>
  <c r="AO12" i="12"/>
  <c r="U13" i="12"/>
  <c r="U14" i="12" s="1"/>
  <c r="AN31" i="12"/>
  <c r="J32" i="12"/>
  <c r="U20" i="12"/>
  <c r="L20" i="12"/>
  <c r="M26" i="13"/>
  <c r="J14" i="13"/>
  <c r="H20" i="12"/>
  <c r="AM19" i="12"/>
  <c r="J14" i="12"/>
  <c r="S14" i="12"/>
  <c r="AM7" i="12"/>
  <c r="AM8" i="12" s="1"/>
  <c r="AN31" i="13"/>
  <c r="J20" i="13"/>
  <c r="E20" i="13"/>
  <c r="E13" i="13"/>
  <c r="E14" i="13" s="1"/>
  <c r="AO8" i="13"/>
  <c r="B8" i="13"/>
  <c r="U8" i="12"/>
  <c r="R77" i="13"/>
  <c r="R79" i="13" s="1"/>
  <c r="V26" i="13"/>
  <c r="E8" i="13"/>
  <c r="AM7" i="13"/>
  <c r="AN6" i="13"/>
  <c r="AK42" i="13"/>
  <c r="AK44" i="13" s="1"/>
  <c r="AM42" i="13"/>
  <c r="AM44" i="13" s="1"/>
  <c r="AI42" i="13"/>
  <c r="Q79" i="13"/>
  <c r="E44" i="13"/>
  <c r="F38" i="13"/>
  <c r="X74" i="11"/>
  <c r="S50" i="13"/>
  <c r="S78" i="15"/>
  <c r="W32" i="15"/>
  <c r="AR31" i="15"/>
  <c r="AS31" i="15"/>
  <c r="AD38" i="15"/>
  <c r="AM44" i="4" l="1"/>
  <c r="AL49" i="11"/>
  <c r="AI54" i="12"/>
  <c r="AP36" i="12"/>
  <c r="AI24" i="12"/>
  <c r="AD14" i="15"/>
  <c r="AD77" i="15"/>
  <c r="AS30" i="15"/>
  <c r="AM72" i="10"/>
  <c r="AD79" i="13"/>
  <c r="AL13" i="13"/>
  <c r="AK14" i="1"/>
  <c r="AO72" i="4"/>
  <c r="AM73" i="10"/>
  <c r="AP36" i="13"/>
  <c r="P79" i="11"/>
  <c r="AN72" i="11"/>
  <c r="AQ44" i="11"/>
  <c r="AO12" i="11"/>
  <c r="AH79" i="13"/>
  <c r="AQ19" i="11"/>
  <c r="T20" i="11"/>
  <c r="AP66" i="1"/>
  <c r="AN56" i="11"/>
  <c r="AS36" i="10"/>
  <c r="AN49" i="11"/>
  <c r="AN50" i="11" s="1"/>
  <c r="AK67" i="12"/>
  <c r="AK68" i="12" s="1"/>
  <c r="AB62" i="10"/>
  <c r="AL61" i="10"/>
  <c r="AN37" i="10"/>
  <c r="AN38" i="10" s="1"/>
  <c r="AL19" i="11"/>
  <c r="AL43" i="8"/>
  <c r="AL44" i="8" s="1"/>
  <c r="W44" i="8"/>
  <c r="F14" i="8"/>
  <c r="AN13" i="8"/>
  <c r="AN14" i="8" s="1"/>
  <c r="AM6" i="8"/>
  <c r="L8" i="8"/>
  <c r="AK60" i="10"/>
  <c r="AI7" i="12"/>
  <c r="AK7" i="12"/>
  <c r="C13" i="13"/>
  <c r="C14" i="13" s="1"/>
  <c r="AI12" i="13"/>
  <c r="T8" i="13"/>
  <c r="T78" i="13"/>
  <c r="H78" i="13"/>
  <c r="H74" i="13"/>
  <c r="F32" i="10"/>
  <c r="AK31" i="10"/>
  <c r="AK32" i="10" s="1"/>
  <c r="K8" i="10"/>
  <c r="AP7" i="10"/>
  <c r="AM8" i="10"/>
  <c r="C62" i="12"/>
  <c r="AN61" i="12"/>
  <c r="AK55" i="12"/>
  <c r="C56" i="12"/>
  <c r="J55" i="12"/>
  <c r="J56" i="12" s="1"/>
  <c r="AN54" i="12"/>
  <c r="AK49" i="12"/>
  <c r="AK50" i="12" s="1"/>
  <c r="X50" i="12"/>
  <c r="AA38" i="12"/>
  <c r="AJ37" i="12"/>
  <c r="AO37" i="12"/>
  <c r="AO38" i="12" s="1"/>
  <c r="U38" i="12"/>
  <c r="AK37" i="12"/>
  <c r="AK38" i="12" s="1"/>
  <c r="C38" i="12"/>
  <c r="AC32" i="12"/>
  <c r="AN30" i="12"/>
  <c r="AQ30" i="12" s="1"/>
  <c r="AL30" i="12"/>
  <c r="AP30" i="12" s="1"/>
  <c r="E25" i="12"/>
  <c r="E77" i="12"/>
  <c r="E20" i="12"/>
  <c r="AL19" i="12"/>
  <c r="AI19" i="12"/>
  <c r="AI30" i="13"/>
  <c r="AJ30" i="13"/>
  <c r="T32" i="13"/>
  <c r="AB14" i="13"/>
  <c r="AB77" i="13"/>
  <c r="AB79" i="13" s="1"/>
  <c r="W13" i="13"/>
  <c r="W78" i="13" s="1"/>
  <c r="AJ12" i="13"/>
  <c r="W77" i="13"/>
  <c r="AO84" i="1"/>
  <c r="AB50" i="11"/>
  <c r="AB20" i="11"/>
  <c r="AO62" i="11"/>
  <c r="AI73" i="8"/>
  <c r="AI74" i="8" s="1"/>
  <c r="I74" i="10"/>
  <c r="AJ72" i="4"/>
  <c r="AL18" i="1"/>
  <c r="AL19" i="1" s="1"/>
  <c r="AO24" i="8"/>
  <c r="AN67" i="12"/>
  <c r="AN68" i="12" s="1"/>
  <c r="V44" i="12"/>
  <c r="AK56" i="12"/>
  <c r="AM37" i="4"/>
  <c r="AQ18" i="8"/>
  <c r="AM13" i="8"/>
  <c r="AR66" i="10"/>
  <c r="AQ62" i="10"/>
  <c r="X38" i="11"/>
  <c r="AK7" i="11"/>
  <c r="AQ8" i="11"/>
  <c r="AJ20" i="13"/>
  <c r="AQ36" i="13"/>
  <c r="AQ54" i="13"/>
  <c r="AF79" i="15"/>
  <c r="AO73" i="11"/>
  <c r="AO74" i="11" s="1"/>
  <c r="Y78" i="12"/>
  <c r="AM42" i="11"/>
  <c r="AP67" i="11"/>
  <c r="AP68" i="11" s="1"/>
  <c r="W44" i="4"/>
  <c r="AP74" i="8"/>
  <c r="AO19" i="4"/>
  <c r="AN43" i="8"/>
  <c r="AN44" i="8" s="1"/>
  <c r="AM60" i="8"/>
  <c r="AO24" i="12"/>
  <c r="AO26" i="12" s="1"/>
  <c r="AN60" i="11"/>
  <c r="AF55" i="10"/>
  <c r="AF56" i="10" s="1"/>
  <c r="AO68" i="12"/>
  <c r="AJ43" i="12"/>
  <c r="AJ44" i="12" s="1"/>
  <c r="AQ36" i="12"/>
  <c r="AA77" i="13"/>
  <c r="AD14" i="8"/>
  <c r="AO12" i="8"/>
  <c r="AB68" i="10"/>
  <c r="AL67" i="10"/>
  <c r="AL68" i="10" s="1"/>
  <c r="AP67" i="10"/>
  <c r="AP68" i="10" s="1"/>
  <c r="AO37" i="11"/>
  <c r="AO38" i="11" s="1"/>
  <c r="AN37" i="11"/>
  <c r="AJ38" i="11"/>
  <c r="AN36" i="11"/>
  <c r="AK36" i="11"/>
  <c r="H38" i="11"/>
  <c r="AQ36" i="11"/>
  <c r="AS36" i="11" s="1"/>
  <c r="AB32" i="11"/>
  <c r="AL31" i="11"/>
  <c r="AK31" i="11"/>
  <c r="AK32" i="11" s="1"/>
  <c r="X13" i="11"/>
  <c r="AM12" i="11"/>
  <c r="AF8" i="11"/>
  <c r="AM7" i="11"/>
  <c r="U8" i="11"/>
  <c r="AN7" i="11"/>
  <c r="AN8" i="11" s="1"/>
  <c r="AO7" i="11"/>
  <c r="AB56" i="11"/>
  <c r="AL55" i="11"/>
  <c r="AL56" i="11" s="1"/>
  <c r="AP55" i="11"/>
  <c r="AO55" i="11"/>
  <c r="AO56" i="11" s="1"/>
  <c r="AK55" i="11"/>
  <c r="AK56" i="11" s="1"/>
  <c r="F56" i="11"/>
  <c r="Q50" i="11"/>
  <c r="AP49" i="11"/>
  <c r="AP50" i="11" s="1"/>
  <c r="G44" i="11"/>
  <c r="AK43" i="11"/>
  <c r="J38" i="13"/>
  <c r="AL37" i="13"/>
  <c r="AL38" i="13" s="1"/>
  <c r="AN24" i="13"/>
  <c r="C26" i="13"/>
  <c r="AM12" i="13"/>
  <c r="Y13" i="13"/>
  <c r="Y14" i="13" s="1"/>
  <c r="U14" i="13"/>
  <c r="AL12" i="13"/>
  <c r="AL14" i="13" s="1"/>
  <c r="N13" i="13"/>
  <c r="N77" i="13"/>
  <c r="F14" i="13"/>
  <c r="AN12" i="13"/>
  <c r="X8" i="13"/>
  <c r="AN7" i="13"/>
  <c r="AK7" i="13"/>
  <c r="AK8" i="13" s="1"/>
  <c r="N8" i="13"/>
  <c r="AI7" i="13"/>
  <c r="O8" i="13"/>
  <c r="AL6" i="13"/>
  <c r="R62" i="12"/>
  <c r="R78" i="12"/>
  <c r="AL66" i="13"/>
  <c r="B68" i="13"/>
  <c r="AN43" i="10"/>
  <c r="AN44" i="10" s="1"/>
  <c r="U44" i="10"/>
  <c r="T32" i="11"/>
  <c r="AN31" i="11"/>
  <c r="AN32" i="11" s="1"/>
  <c r="AO19" i="11"/>
  <c r="AJ20" i="11"/>
  <c r="X8" i="11"/>
  <c r="AO6" i="11"/>
  <c r="AM6" i="11"/>
  <c r="AS6" i="11" s="1"/>
  <c r="AR72" i="11"/>
  <c r="G8" i="11"/>
  <c r="W50" i="4"/>
  <c r="AL49" i="4"/>
  <c r="AB38" i="4"/>
  <c r="AK37" i="4"/>
  <c r="AK38" i="4" s="1"/>
  <c r="AB32" i="4"/>
  <c r="AK31" i="4"/>
  <c r="AK32" i="4" s="1"/>
  <c r="AO24" i="4"/>
  <c r="AC13" i="4"/>
  <c r="AO12" i="4"/>
  <c r="AR12" i="4" s="1"/>
  <c r="AM55" i="8"/>
  <c r="AM56" i="8" s="1"/>
  <c r="T56" i="8"/>
  <c r="AM43" i="8"/>
  <c r="AM44" i="8" s="1"/>
  <c r="K44" i="8"/>
  <c r="AB32" i="8"/>
  <c r="AK31" i="8"/>
  <c r="AK32" i="8" s="1"/>
  <c r="F8" i="10"/>
  <c r="AN7" i="10"/>
  <c r="B74" i="11"/>
  <c r="AP72" i="11"/>
  <c r="AB68" i="11"/>
  <c r="AL67" i="11"/>
  <c r="AL68" i="11" s="1"/>
  <c r="I68" i="11"/>
  <c r="AM67" i="11"/>
  <c r="AM68" i="11" s="1"/>
  <c r="AQ61" i="11"/>
  <c r="AQ62" i="11" s="1"/>
  <c r="T62" i="11"/>
  <c r="L62" i="11"/>
  <c r="AN61" i="11"/>
  <c r="AN62" i="11" s="1"/>
  <c r="AK61" i="11"/>
  <c r="AK62" i="11" s="1"/>
  <c r="AK43" i="12"/>
  <c r="AE44" i="12"/>
  <c r="J44" i="12"/>
  <c r="AN43" i="12"/>
  <c r="AN44" i="12" s="1"/>
  <c r="V38" i="12"/>
  <c r="AL37" i="12"/>
  <c r="AL38" i="12" s="1"/>
  <c r="V32" i="12"/>
  <c r="AM31" i="12"/>
  <c r="AM32" i="12" s="1"/>
  <c r="AI31" i="12"/>
  <c r="AL31" i="12"/>
  <c r="AL32" i="12" s="1"/>
  <c r="AA77" i="12"/>
  <c r="AA26" i="12"/>
  <c r="AJ24" i="12"/>
  <c r="S25" i="12"/>
  <c r="AK24" i="12"/>
  <c r="K26" i="12"/>
  <c r="AN24" i="12"/>
  <c r="AL24" i="12"/>
  <c r="S20" i="12"/>
  <c r="AN19" i="12"/>
  <c r="AN20" i="12" s="1"/>
  <c r="AK19" i="12"/>
  <c r="AK20" i="12" s="1"/>
  <c r="AI18" i="12"/>
  <c r="AC20" i="12"/>
  <c r="AL18" i="12"/>
  <c r="AP18" i="12" s="1"/>
  <c r="H13" i="12"/>
  <c r="AM12" i="12"/>
  <c r="C14" i="12"/>
  <c r="AN12" i="12"/>
  <c r="T20" i="8"/>
  <c r="AP19" i="8"/>
  <c r="AP20" i="8" s="1"/>
  <c r="AM37" i="11"/>
  <c r="AK37" i="11"/>
  <c r="X26" i="11"/>
  <c r="AO24" i="11"/>
  <c r="AP24" i="11"/>
  <c r="AK24" i="11"/>
  <c r="S13" i="11"/>
  <c r="S14" i="11" s="1"/>
  <c r="AL12" i="11"/>
  <c r="AL76" i="11" s="1"/>
  <c r="K14" i="11"/>
  <c r="AP12" i="11"/>
  <c r="Q8" i="11"/>
  <c r="AL7" i="11"/>
  <c r="AL8" i="11" s="1"/>
  <c r="AN12" i="11"/>
  <c r="AK6" i="11"/>
  <c r="AO43" i="10"/>
  <c r="AO44" i="10" s="1"/>
  <c r="AP7" i="11"/>
  <c r="AQ31" i="11"/>
  <c r="AQ32" i="11" s="1"/>
  <c r="C38" i="11"/>
  <c r="AK43" i="10"/>
  <c r="AK44" i="10" s="1"/>
  <c r="G26" i="10"/>
  <c r="AK24" i="10"/>
  <c r="X14" i="10"/>
  <c r="AO12" i="10"/>
  <c r="R13" i="10"/>
  <c r="R14" i="10" s="1"/>
  <c r="AM12" i="10"/>
  <c r="AH73" i="12"/>
  <c r="AL72" i="12"/>
  <c r="O78" i="12"/>
  <c r="AO72" i="12"/>
  <c r="AO74" i="12" s="1"/>
  <c r="AI72" i="12"/>
  <c r="O74" i="12"/>
  <c r="H61" i="12"/>
  <c r="AK60" i="12"/>
  <c r="E50" i="12"/>
  <c r="AI49" i="12"/>
  <c r="AL49" i="12"/>
  <c r="AL50" i="12" s="1"/>
  <c r="AK38" i="8"/>
  <c r="O78" i="15"/>
  <c r="O82" i="15"/>
  <c r="AP13" i="15"/>
  <c r="N82" i="15"/>
  <c r="AP19" i="15"/>
  <c r="AD82" i="15"/>
  <c r="AJ78" i="15"/>
  <c r="AJ82" i="15"/>
  <c r="AA79" i="12"/>
  <c r="AQ68" i="11"/>
  <c r="AL67" i="12"/>
  <c r="AI32" i="12"/>
  <c r="AJ38" i="12"/>
  <c r="AR36" i="10"/>
  <c r="AP48" i="12"/>
  <c r="AM56" i="12"/>
  <c r="AL54" i="1"/>
  <c r="AL55" i="1" s="1"/>
  <c r="AM17" i="1"/>
  <c r="AL72" i="4"/>
  <c r="AM24" i="8"/>
  <c r="AQ6" i="8"/>
  <c r="AA38" i="15"/>
  <c r="AA82" i="15"/>
  <c r="AN55" i="15"/>
  <c r="P82" i="15"/>
  <c r="AI44" i="13"/>
  <c r="AO62" i="12"/>
  <c r="AQ20" i="11"/>
  <c r="AP30" i="13"/>
  <c r="AK50" i="8"/>
  <c r="AP44" i="8"/>
  <c r="AP8" i="8"/>
  <c r="AQ7" i="15"/>
  <c r="V82" i="15"/>
  <c r="AI8" i="13"/>
  <c r="AR54" i="10"/>
  <c r="AK36" i="10"/>
  <c r="AL19" i="10"/>
  <c r="AL20" i="10" s="1"/>
  <c r="AI79" i="11"/>
  <c r="AR30" i="11"/>
  <c r="Y77" i="12"/>
  <c r="Y79" i="12" s="1"/>
  <c r="AS55" i="11"/>
  <c r="AO66" i="1"/>
  <c r="AO67" i="1" s="1"/>
  <c r="AK49" i="4"/>
  <c r="AK50" i="4" s="1"/>
  <c r="AO43" i="4"/>
  <c r="AO44" i="4" s="1"/>
  <c r="AP26" i="4"/>
  <c r="AL49" i="8"/>
  <c r="AL50" i="8" s="1"/>
  <c r="M74" i="10"/>
  <c r="AO20" i="12"/>
  <c r="AM74" i="10"/>
  <c r="AN7" i="4"/>
  <c r="AN8" i="4" s="1"/>
  <c r="AO67" i="10"/>
  <c r="AO68" i="10" s="1"/>
  <c r="AK55" i="10"/>
  <c r="AP43" i="10"/>
  <c r="AP44" i="10" s="1"/>
  <c r="AO13" i="10"/>
  <c r="U14" i="10"/>
  <c r="L14" i="10"/>
  <c r="AP13" i="10"/>
  <c r="AF20" i="11"/>
  <c r="AP19" i="11"/>
  <c r="N20" i="13"/>
  <c r="AM19" i="13"/>
  <c r="AM20" i="13" s="1"/>
  <c r="AI19" i="13"/>
  <c r="AP12" i="10"/>
  <c r="AN23" i="1"/>
  <c r="AL23" i="1"/>
  <c r="G25" i="1"/>
  <c r="AK72" i="4"/>
  <c r="AF73" i="4"/>
  <c r="I74" i="8"/>
  <c r="AL73" i="8"/>
  <c r="AL74" i="8" s="1"/>
  <c r="AJ60" i="8"/>
  <c r="AN60" i="8"/>
  <c r="AN76" i="8" s="1"/>
  <c r="F62" i="8"/>
  <c r="W56" i="8"/>
  <c r="AO55" i="8"/>
  <c r="AO56" i="8" s="1"/>
  <c r="AM19" i="11"/>
  <c r="AK19" i="11"/>
  <c r="AK20" i="11" s="1"/>
  <c r="X20" i="13"/>
  <c r="AN19" i="13"/>
  <c r="AN20" i="13" s="1"/>
  <c r="AI18" i="13"/>
  <c r="AL18" i="13"/>
  <c r="AP18" i="13" s="1"/>
  <c r="AN18" i="13"/>
  <c r="AJ13" i="13"/>
  <c r="AJ14" i="13" s="1"/>
  <c r="W14" i="13"/>
  <c r="I20" i="11"/>
  <c r="AB25" i="1"/>
  <c r="AK24" i="1"/>
  <c r="AO23" i="1"/>
  <c r="AK23" i="1"/>
  <c r="AB56" i="4"/>
  <c r="AJ55" i="4"/>
  <c r="AJ56" i="4" s="1"/>
  <c r="AO55" i="4"/>
  <c r="AO56" i="4" s="1"/>
  <c r="U14" i="11"/>
  <c r="AP19" i="10"/>
  <c r="AR18" i="10"/>
  <c r="AS18" i="10"/>
  <c r="AL31" i="8"/>
  <c r="AL32" i="8" s="1"/>
  <c r="AO24" i="1"/>
  <c r="AL67" i="8"/>
  <c r="AL68" i="8" s="1"/>
  <c r="AO76" i="8"/>
  <c r="AI32" i="8"/>
  <c r="AM31" i="8"/>
  <c r="T56" i="10"/>
  <c r="AQ55" i="10"/>
  <c r="AQ56" i="10" s="1"/>
  <c r="AF26" i="11"/>
  <c r="AM24" i="11"/>
  <c r="AP31" i="11"/>
  <c r="AP32" i="11" s="1"/>
  <c r="AK49" i="11"/>
  <c r="AK50" i="11" s="1"/>
  <c r="AP24" i="10"/>
  <c r="AK7" i="10"/>
  <c r="AK8" i="10" s="1"/>
  <c r="U8" i="4"/>
  <c r="AP55" i="10"/>
  <c r="AB50" i="8"/>
  <c r="AJ24" i="8"/>
  <c r="AL62" i="10"/>
  <c r="AH78" i="12"/>
  <c r="T44" i="11"/>
  <c r="AJ6" i="8"/>
  <c r="AK12" i="12"/>
  <c r="AI12" i="12"/>
  <c r="AO25" i="13"/>
  <c r="AK77" i="1"/>
  <c r="AO77" i="1"/>
  <c r="AP65" i="1"/>
  <c r="AP67" i="1" s="1"/>
  <c r="U61" i="1"/>
  <c r="AM60" i="1"/>
  <c r="AM61" i="1" s="1"/>
  <c r="AF36" i="1"/>
  <c r="AF37" i="1" s="1"/>
  <c r="AK35" i="1"/>
  <c r="AL30" i="1"/>
  <c r="AL31" i="1" s="1"/>
  <c r="AM14" i="1"/>
  <c r="AN8" i="1"/>
  <c r="AQ72" i="4"/>
  <c r="AQ54" i="4"/>
  <c r="AC62" i="8"/>
  <c r="AK61" i="8"/>
  <c r="L38" i="8"/>
  <c r="AO37" i="8"/>
  <c r="AO38" i="8" s="1"/>
  <c r="AC62" i="11"/>
  <c r="AL61" i="11"/>
  <c r="AL62" i="11" s="1"/>
  <c r="AR60" i="11"/>
  <c r="R56" i="11"/>
  <c r="AM55" i="11"/>
  <c r="AM56" i="11" s="1"/>
  <c r="AN78" i="1"/>
  <c r="AN79" i="1" s="1"/>
  <c r="AM78" i="1"/>
  <c r="AM79" i="1" s="1"/>
  <c r="AL44" i="4"/>
  <c r="U32" i="4"/>
  <c r="AN31" i="4"/>
  <c r="AN32" i="4" s="1"/>
  <c r="AB14" i="8"/>
  <c r="AK13" i="8"/>
  <c r="AK14" i="8" s="1"/>
  <c r="X74" i="10"/>
  <c r="AO72" i="10"/>
  <c r="J32" i="10"/>
  <c r="AP31" i="10"/>
  <c r="AP32" i="10" s="1"/>
  <c r="U8" i="10"/>
  <c r="AO7" i="10"/>
  <c r="AO8" i="10" s="1"/>
  <c r="Y25" i="13"/>
  <c r="Y26" i="13" s="1"/>
  <c r="AM24" i="13"/>
  <c r="AL13" i="12"/>
  <c r="AO42" i="11"/>
  <c r="AL43" i="11"/>
  <c r="AL44" i="11" s="1"/>
  <c r="AO31" i="11"/>
  <c r="AO32" i="11" s="1"/>
  <c r="AO13" i="12"/>
  <c r="AO14" i="12" s="1"/>
  <c r="AM19" i="10"/>
  <c r="AM20" i="10" s="1"/>
  <c r="U78" i="12"/>
  <c r="AN32" i="13"/>
  <c r="AL12" i="12"/>
  <c r="AK8" i="11"/>
  <c r="AM31" i="11"/>
  <c r="AM32" i="11" s="1"/>
  <c r="AL37" i="11"/>
  <c r="AR37" i="11" s="1"/>
  <c r="AK42" i="11"/>
  <c r="AN43" i="11"/>
  <c r="AR43" i="11" s="1"/>
  <c r="AL32" i="11"/>
  <c r="AP37" i="11"/>
  <c r="AP38" i="11" s="1"/>
  <c r="AK12" i="10"/>
  <c r="AM30" i="8"/>
  <c r="AQ30" i="8" s="1"/>
  <c r="AO49" i="8"/>
  <c r="AO50" i="8" s="1"/>
  <c r="AK19" i="4"/>
  <c r="AK20" i="4" s="1"/>
  <c r="AO14" i="1"/>
  <c r="AO42" i="1"/>
  <c r="AO43" i="1" s="1"/>
  <c r="AO31" i="8"/>
  <c r="AO32" i="8" s="1"/>
  <c r="J56" i="10"/>
  <c r="AJ30" i="8"/>
  <c r="AO25" i="8"/>
  <c r="AO26" i="8" s="1"/>
  <c r="AJ24" i="13"/>
  <c r="AI37" i="13"/>
  <c r="AI38" i="13" s="1"/>
  <c r="AM38" i="4"/>
  <c r="AO35" i="1"/>
  <c r="AO24" i="13"/>
  <c r="T26" i="11"/>
  <c r="AC79" i="1"/>
  <c r="AL78" i="1"/>
  <c r="AJ66" i="1"/>
  <c r="AK54" i="1"/>
  <c r="AK55" i="1" s="1"/>
  <c r="AM37" i="1"/>
  <c r="AC25" i="10"/>
  <c r="AC26" i="10" s="1"/>
  <c r="AL24" i="10"/>
  <c r="C14" i="10"/>
  <c r="AM13" i="10"/>
  <c r="AM14" i="10" s="1"/>
  <c r="T74" i="12"/>
  <c r="AJ73" i="12"/>
  <c r="AJ74" i="12" s="1"/>
  <c r="I55" i="12"/>
  <c r="AL54" i="12"/>
  <c r="AP54" i="12" s="1"/>
  <c r="J38" i="12"/>
  <c r="AI37" i="12"/>
  <c r="AI38" i="12" s="1"/>
  <c r="AL20" i="11"/>
  <c r="AM50" i="12"/>
  <c r="H68" i="4"/>
  <c r="AI32" i="13"/>
  <c r="AJ65" i="1"/>
  <c r="AL14" i="1"/>
  <c r="AM8" i="1"/>
  <c r="AQ72" i="8"/>
  <c r="AQ66" i="8"/>
  <c r="AQ48" i="8"/>
  <c r="AO43" i="8"/>
  <c r="AO44" i="8" s="1"/>
  <c r="AQ42" i="8"/>
  <c r="AR36" i="8"/>
  <c r="AQ36" i="8"/>
  <c r="AL13" i="8"/>
  <c r="AS6" i="8"/>
  <c r="AN12" i="10"/>
  <c r="AP20" i="15"/>
  <c r="AM20" i="15"/>
  <c r="AD79" i="15"/>
  <c r="H14" i="15"/>
  <c r="T77" i="15"/>
  <c r="T79" i="15" s="1"/>
  <c r="AN68" i="4"/>
  <c r="AR30" i="4"/>
  <c r="AQ30" i="4"/>
  <c r="AR6" i="4"/>
  <c r="AS30" i="10"/>
  <c r="AR30" i="10"/>
  <c r="AO31" i="12"/>
  <c r="AO32" i="12" s="1"/>
  <c r="U77" i="15"/>
  <c r="AL14" i="8"/>
  <c r="K62" i="8"/>
  <c r="AM61" i="8"/>
  <c r="AL76" i="8"/>
  <c r="K20" i="8"/>
  <c r="AM19" i="8"/>
  <c r="AM20" i="8" s="1"/>
  <c r="AP76" i="8"/>
  <c r="AB8" i="8"/>
  <c r="AK7" i="8"/>
  <c r="AK8" i="8" s="1"/>
  <c r="AP67" i="8"/>
  <c r="AP68" i="8" s="1"/>
  <c r="T68" i="8"/>
  <c r="AP61" i="8"/>
  <c r="AP62" i="8" s="1"/>
  <c r="T62" i="8"/>
  <c r="AJ37" i="8"/>
  <c r="AJ38" i="8" s="1"/>
  <c r="AN37" i="8"/>
  <c r="AN38" i="8" s="1"/>
  <c r="AM37" i="8"/>
  <c r="AM38" i="8" s="1"/>
  <c r="AK76" i="8"/>
  <c r="AP72" i="10"/>
  <c r="AL38" i="8"/>
  <c r="AP55" i="8"/>
  <c r="AP56" i="8" s="1"/>
  <c r="AO61" i="8"/>
  <c r="AO62" i="8" s="1"/>
  <c r="AJ19" i="8"/>
  <c r="AJ20" i="8" s="1"/>
  <c r="AA37" i="1"/>
  <c r="AO73" i="8"/>
  <c r="AO74" i="8" s="1"/>
  <c r="AQ30" i="13"/>
  <c r="AJ32" i="13"/>
  <c r="C62" i="10"/>
  <c r="R56" i="10"/>
  <c r="AM55" i="10"/>
  <c r="AM56" i="10" s="1"/>
  <c r="F56" i="10"/>
  <c r="AO55" i="10"/>
  <c r="AO56" i="10" s="1"/>
  <c r="AN55" i="10"/>
  <c r="AN56" i="10" s="1"/>
  <c r="U50" i="10"/>
  <c r="AO49" i="10"/>
  <c r="J50" i="10"/>
  <c r="AP49" i="10"/>
  <c r="AS49" i="10" s="1"/>
  <c r="AK48" i="10"/>
  <c r="AM48" i="10"/>
  <c r="AR48" i="10" s="1"/>
  <c r="AO48" i="10"/>
  <c r="AS48" i="10" s="1"/>
  <c r="AP25" i="10"/>
  <c r="J26" i="10"/>
  <c r="F25" i="10"/>
  <c r="F26" i="10" s="1"/>
  <c r="AO24" i="10"/>
  <c r="AN24" i="10"/>
  <c r="AC14" i="10"/>
  <c r="AL12" i="10"/>
  <c r="AL76" i="10" s="1"/>
  <c r="S14" i="10"/>
  <c r="AL13" i="10"/>
  <c r="X14" i="12"/>
  <c r="X78" i="12"/>
  <c r="AP43" i="12"/>
  <c r="E78" i="12"/>
  <c r="E79" i="12" s="1"/>
  <c r="AN73" i="8"/>
  <c r="AM13" i="13"/>
  <c r="AM14" i="13" s="1"/>
  <c r="AI67" i="12"/>
  <c r="AI68" i="12" s="1"/>
  <c r="V78" i="12"/>
  <c r="AJ49" i="8"/>
  <c r="AJ50" i="8" s="1"/>
  <c r="AQ24" i="8"/>
  <c r="AJ55" i="8"/>
  <c r="AJ56" i="8" s="1"/>
  <c r="AK19" i="8"/>
  <c r="AK20" i="8" s="1"/>
  <c r="AS55" i="10"/>
  <c r="AM67" i="8"/>
  <c r="AM68" i="8" s="1"/>
  <c r="AL43" i="1"/>
  <c r="AK62" i="8"/>
  <c r="AP35" i="1"/>
  <c r="AP37" i="1" s="1"/>
  <c r="R32" i="4"/>
  <c r="AJ31" i="4"/>
  <c r="AJ32" i="4" s="1"/>
  <c r="AO31" i="4"/>
  <c r="J25" i="4"/>
  <c r="AL24" i="4"/>
  <c r="AM19" i="4"/>
  <c r="AN19" i="4"/>
  <c r="S20" i="4"/>
  <c r="AJ19" i="4"/>
  <c r="AJ20" i="4" s="1"/>
  <c r="F38" i="10"/>
  <c r="AK37" i="10"/>
  <c r="AK38" i="10" s="1"/>
  <c r="AQ31" i="10"/>
  <c r="AQ32" i="10" s="1"/>
  <c r="T32" i="10"/>
  <c r="L32" i="10"/>
  <c r="AN31" i="10"/>
  <c r="AN32" i="10" s="1"/>
  <c r="AN19" i="10"/>
  <c r="AN20" i="10" s="1"/>
  <c r="F20" i="10"/>
  <c r="AP73" i="11"/>
  <c r="AP74" i="11" s="1"/>
  <c r="AJ25" i="12"/>
  <c r="AJ26" i="12" s="1"/>
  <c r="R26" i="12"/>
  <c r="U38" i="8"/>
  <c r="AO67" i="8"/>
  <c r="AO68" i="8" s="1"/>
  <c r="AN31" i="8"/>
  <c r="AN32" i="8" s="1"/>
  <c r="AJ61" i="8"/>
  <c r="AO13" i="8"/>
  <c r="AO14" i="8" s="1"/>
  <c r="AL25" i="8"/>
  <c r="AL26" i="8" s="1"/>
  <c r="AJ31" i="8"/>
  <c r="AJ32" i="8" s="1"/>
  <c r="AJ43" i="8"/>
  <c r="AJ44" i="8" s="1"/>
  <c r="AK73" i="8"/>
  <c r="AK74" i="8" s="1"/>
  <c r="AO19" i="8"/>
  <c r="AO20" i="8" s="1"/>
  <c r="F79" i="1"/>
  <c r="AJ78" i="1"/>
  <c r="AL77" i="1"/>
  <c r="AL79" i="1" s="1"/>
  <c r="AJ77" i="1"/>
  <c r="G79" i="1"/>
  <c r="K55" i="1"/>
  <c r="AJ54" i="1"/>
  <c r="AJ55" i="1" s="1"/>
  <c r="AJ47" i="1"/>
  <c r="AL47" i="1"/>
  <c r="F48" i="1"/>
  <c r="AO48" i="1" s="1"/>
  <c r="AO49" i="1" s="1"/>
  <c r="AC43" i="1"/>
  <c r="AK42" i="1"/>
  <c r="AK43" i="1" s="1"/>
  <c r="AJ42" i="1"/>
  <c r="AJ43" i="1" s="1"/>
  <c r="AL36" i="1"/>
  <c r="AL37" i="1" s="1"/>
  <c r="O37" i="1"/>
  <c r="AJ29" i="1"/>
  <c r="U31" i="1"/>
  <c r="U24" i="1"/>
  <c r="AP23" i="1"/>
  <c r="AN18" i="1"/>
  <c r="AM18" i="1"/>
  <c r="AM19" i="1" s="1"/>
  <c r="AB68" i="4"/>
  <c r="AK67" i="4"/>
  <c r="AK68" i="4" s="1"/>
  <c r="U50" i="4"/>
  <c r="AM49" i="4"/>
  <c r="AM50" i="4" s="1"/>
  <c r="AL48" i="4"/>
  <c r="AJ48" i="4"/>
  <c r="S44" i="4"/>
  <c r="AJ43" i="4"/>
  <c r="AJ44" i="4" s="1"/>
  <c r="AK43" i="4"/>
  <c r="AQ43" i="4" s="1"/>
  <c r="S38" i="4"/>
  <c r="AO37" i="4"/>
  <c r="AO38" i="4" s="1"/>
  <c r="AJ68" i="10"/>
  <c r="AN67" i="10"/>
  <c r="AN68" i="10" s="1"/>
  <c r="R68" i="10"/>
  <c r="AM67" i="10"/>
  <c r="Q44" i="10"/>
  <c r="AL43" i="10"/>
  <c r="AL44" i="10" s="1"/>
  <c r="AC8" i="10"/>
  <c r="AL7" i="10"/>
  <c r="AL8" i="10" s="1"/>
  <c r="T8" i="10"/>
  <c r="AQ7" i="10"/>
  <c r="AQ8" i="10" s="1"/>
  <c r="AQ13" i="11"/>
  <c r="AM60" i="12"/>
  <c r="AO44" i="12"/>
  <c r="AO20" i="13"/>
  <c r="AK56" i="13"/>
  <c r="AN74" i="13"/>
  <c r="AQ50" i="10"/>
  <c r="AM66" i="1"/>
  <c r="AP14" i="1"/>
  <c r="AO67" i="4"/>
  <c r="AO68" i="4" s="1"/>
  <c r="AI44" i="12"/>
  <c r="AN62" i="8"/>
  <c r="AR30" i="8"/>
  <c r="AK73" i="4"/>
  <c r="AK74" i="4" s="1"/>
  <c r="AQ60" i="8"/>
  <c r="AM43" i="1"/>
  <c r="AP62" i="4"/>
  <c r="AQ42" i="4"/>
  <c r="AK25" i="8"/>
  <c r="AF61" i="10"/>
  <c r="AS48" i="11"/>
  <c r="AR48" i="11"/>
  <c r="Q79" i="12"/>
  <c r="T20" i="13"/>
  <c r="I77" i="15"/>
  <c r="I79" i="15" s="1"/>
  <c r="AP44" i="15"/>
  <c r="AJ60" i="4"/>
  <c r="AP56" i="4"/>
  <c r="W79" i="12"/>
  <c r="Y77" i="13"/>
  <c r="AO13" i="4"/>
  <c r="AO14" i="4" s="1"/>
  <c r="AJ13" i="4"/>
  <c r="AD74" i="11"/>
  <c r="AK72" i="11"/>
  <c r="H32" i="12"/>
  <c r="AK31" i="12"/>
  <c r="X78" i="15"/>
  <c r="X79" i="15" s="1"/>
  <c r="X38" i="15"/>
  <c r="AQ37" i="15"/>
  <c r="AQ38" i="15" s="1"/>
  <c r="AB38" i="15"/>
  <c r="AO49" i="15"/>
  <c r="AO50" i="15" s="1"/>
  <c r="W50" i="15"/>
  <c r="C74" i="11"/>
  <c r="R8" i="4"/>
  <c r="AO7" i="4"/>
  <c r="AO8" i="4" s="1"/>
  <c r="AC74" i="10"/>
  <c r="AL73" i="10"/>
  <c r="AP56" i="10"/>
  <c r="AN73" i="11"/>
  <c r="AN74" i="11" s="1"/>
  <c r="AO14" i="10"/>
  <c r="AN25" i="8"/>
  <c r="AN26" i="8" s="1"/>
  <c r="AK12" i="4"/>
  <c r="AQ12" i="4" s="1"/>
  <c r="AJ37" i="4"/>
  <c r="AJ38" i="4" s="1"/>
  <c r="AJ25" i="8"/>
  <c r="AJ26" i="8" s="1"/>
  <c r="AJ7" i="8"/>
  <c r="AJ8" i="8" s="1"/>
  <c r="AO73" i="10"/>
  <c r="AB20" i="10"/>
  <c r="AM67" i="4"/>
  <c r="AM68" i="4" s="1"/>
  <c r="AP67" i="4"/>
  <c r="AP68" i="4" s="1"/>
  <c r="AP20" i="4"/>
  <c r="AN67" i="8"/>
  <c r="AN68" i="8" s="1"/>
  <c r="AJ67" i="8"/>
  <c r="AJ68" i="8" s="1"/>
  <c r="I68" i="8"/>
  <c r="AP25" i="8"/>
  <c r="AP26" i="8" s="1"/>
  <c r="AP13" i="8"/>
  <c r="AP14" i="8" s="1"/>
  <c r="T14" i="8"/>
  <c r="AJ13" i="8"/>
  <c r="AM60" i="10"/>
  <c r="I62" i="10"/>
  <c r="AO60" i="10"/>
  <c r="AO76" i="10" s="1"/>
  <c r="AB32" i="10"/>
  <c r="AL31" i="10"/>
  <c r="AL32" i="10" s="1"/>
  <c r="M44" i="11"/>
  <c r="AN42" i="11"/>
  <c r="AR42" i="11" s="1"/>
  <c r="AP42" i="11"/>
  <c r="AP44" i="11" s="1"/>
  <c r="X20" i="11"/>
  <c r="AM18" i="11"/>
  <c r="G14" i="11"/>
  <c r="AK12" i="11"/>
  <c r="AJ49" i="12"/>
  <c r="AJ50" i="12" s="1"/>
  <c r="AB50" i="12"/>
  <c r="R20" i="12"/>
  <c r="AJ19" i="12"/>
  <c r="AC26" i="13"/>
  <c r="AL24" i="13"/>
  <c r="N25" i="13"/>
  <c r="N26" i="13" s="1"/>
  <c r="AK24" i="13"/>
  <c r="E25" i="13"/>
  <c r="E77" i="13"/>
  <c r="AK12" i="13"/>
  <c r="AP12" i="13" s="1"/>
  <c r="AL7" i="15"/>
  <c r="S8" i="15"/>
  <c r="AE14" i="15"/>
  <c r="AE77" i="15"/>
  <c r="AE79" i="15" s="1"/>
  <c r="AJ77" i="15"/>
  <c r="AJ14" i="15"/>
  <c r="AL67" i="4"/>
  <c r="AL68" i="4" s="1"/>
  <c r="AJ67" i="4"/>
  <c r="AJ68" i="4" s="1"/>
  <c r="AB8" i="4"/>
  <c r="AK7" i="4"/>
  <c r="AK8" i="4" s="1"/>
  <c r="AN13" i="11"/>
  <c r="AN14" i="11" s="1"/>
  <c r="AI61" i="12"/>
  <c r="AN8" i="13"/>
  <c r="AP67" i="12"/>
  <c r="AM73" i="11"/>
  <c r="AM74" i="11" s="1"/>
  <c r="AQ43" i="12"/>
  <c r="AR7" i="13"/>
  <c r="AN32" i="12"/>
  <c r="AK38" i="11"/>
  <c r="AK19" i="10"/>
  <c r="AQ73" i="11"/>
  <c r="AQ74" i="11" s="1"/>
  <c r="AK72" i="10"/>
  <c r="AM7" i="8"/>
  <c r="AP73" i="10"/>
  <c r="AP74" i="10" s="1"/>
  <c r="AJ12" i="4"/>
  <c r="AL37" i="4"/>
  <c r="AJ7" i="4"/>
  <c r="AJ8" i="4" s="1"/>
  <c r="AO7" i="8"/>
  <c r="AO8" i="8" s="1"/>
  <c r="AL7" i="4"/>
  <c r="AL8" i="4" s="1"/>
  <c r="AL7" i="8"/>
  <c r="AK73" i="10"/>
  <c r="AM62" i="8"/>
  <c r="J68" i="4"/>
  <c r="F62" i="4"/>
  <c r="AL61" i="4"/>
  <c r="AI26" i="4"/>
  <c r="AN24" i="4"/>
  <c r="AN26" i="4" s="1"/>
  <c r="AC25" i="4"/>
  <c r="AJ24" i="4"/>
  <c r="AC68" i="10"/>
  <c r="AC82" i="10"/>
  <c r="AO66" i="11"/>
  <c r="AN66" i="11"/>
  <c r="AR66" i="11" s="1"/>
  <c r="U20" i="11"/>
  <c r="AN19" i="11"/>
  <c r="AS19" i="11" s="1"/>
  <c r="AO18" i="11"/>
  <c r="AO20" i="11" s="1"/>
  <c r="AC13" i="11"/>
  <c r="AC77" i="11"/>
  <c r="H25" i="12"/>
  <c r="H77" i="12"/>
  <c r="AN7" i="12"/>
  <c r="S8" i="12"/>
  <c r="AN6" i="12"/>
  <c r="AR6" i="12" s="1"/>
  <c r="AC77" i="12"/>
  <c r="AC79" i="12" s="1"/>
  <c r="AJ37" i="13"/>
  <c r="AJ38" i="13" s="1"/>
  <c r="AA38" i="13"/>
  <c r="H77" i="13"/>
  <c r="H79" i="13" s="1"/>
  <c r="H62" i="13"/>
  <c r="AP84" i="1"/>
  <c r="AP85" i="1" s="1"/>
  <c r="AM84" i="1"/>
  <c r="AM85" i="1" s="1"/>
  <c r="AJ83" i="1"/>
  <c r="N84" i="1"/>
  <c r="AL84" i="1" s="1"/>
  <c r="AM18" i="4"/>
  <c r="AD20" i="4"/>
  <c r="AP76" i="4"/>
  <c r="AQ31" i="8"/>
  <c r="AL61" i="12"/>
  <c r="AL62" i="12" s="1"/>
  <c r="AK73" i="11"/>
  <c r="AR72" i="10"/>
  <c r="AO18" i="4"/>
  <c r="AR18" i="4" s="1"/>
  <c r="AN7" i="8"/>
  <c r="AN8" i="8" s="1"/>
  <c r="AM25" i="8"/>
  <c r="AM26" i="8" s="1"/>
  <c r="AN73" i="10"/>
  <c r="AN74" i="10" s="1"/>
  <c r="AL83" i="1"/>
  <c r="AO78" i="1"/>
  <c r="AP72" i="1"/>
  <c r="AP73" i="1" s="1"/>
  <c r="AM72" i="1"/>
  <c r="AM73" i="1" s="1"/>
  <c r="K73" i="1"/>
  <c r="AL72" i="1"/>
  <c r="AL73" i="1" s="1"/>
  <c r="AJ71" i="1"/>
  <c r="AK71" i="1"/>
  <c r="T67" i="1"/>
  <c r="AK66" i="1"/>
  <c r="AK67" i="1" s="1"/>
  <c r="AL60" i="1"/>
  <c r="AL61" i="1" s="1"/>
  <c r="S61" i="1"/>
  <c r="AJ60" i="1"/>
  <c r="AJ61" i="1" s="1"/>
  <c r="AO54" i="1"/>
  <c r="AO55" i="1" s="1"/>
  <c r="J55" i="1"/>
  <c r="AB49" i="1"/>
  <c r="AK48" i="1"/>
  <c r="AK49" i="1" s="1"/>
  <c r="AC37" i="1"/>
  <c r="T36" i="1"/>
  <c r="AJ35" i="1"/>
  <c r="AK18" i="1"/>
  <c r="AK19" i="1" s="1"/>
  <c r="AF19" i="1"/>
  <c r="AO18" i="1"/>
  <c r="AO19" i="1" s="1"/>
  <c r="AC44" i="8"/>
  <c r="AK43" i="8"/>
  <c r="S56" i="10"/>
  <c r="AL55" i="10"/>
  <c r="AL56" i="10" s="1"/>
  <c r="AM49" i="10"/>
  <c r="AM50" i="10" s="1"/>
  <c r="AN49" i="10"/>
  <c r="AN50" i="10" s="1"/>
  <c r="F50" i="10"/>
  <c r="AB26" i="12"/>
  <c r="AB77" i="12"/>
  <c r="AE20" i="13"/>
  <c r="AK19" i="13"/>
  <c r="AK20" i="13" s="1"/>
  <c r="AM68" i="10"/>
  <c r="AM73" i="4"/>
  <c r="AM74" i="4" s="1"/>
  <c r="AN56" i="4"/>
  <c r="AL20" i="4"/>
  <c r="AS42" i="10"/>
  <c r="AL73" i="11"/>
  <c r="AR73" i="11" s="1"/>
  <c r="AS54" i="11"/>
  <c r="AQ24" i="11"/>
  <c r="AQ26" i="11" s="1"/>
  <c r="T8" i="11"/>
  <c r="U38" i="13"/>
  <c r="AP48" i="13"/>
  <c r="AK50" i="13"/>
  <c r="AO50" i="13"/>
  <c r="AI55" i="13"/>
  <c r="AI56" i="13" s="1"/>
  <c r="AK60" i="13"/>
  <c r="AK62" i="13" s="1"/>
  <c r="AQ82" i="15"/>
  <c r="AM20" i="4"/>
  <c r="AN61" i="1"/>
  <c r="AP55" i="1"/>
  <c r="AN14" i="1"/>
  <c r="AP8" i="1"/>
  <c r="AC26" i="8"/>
  <c r="M32" i="12"/>
  <c r="AO8" i="12"/>
  <c r="AL56" i="13"/>
  <c r="AR30" i="15"/>
  <c r="AN32" i="15"/>
  <c r="AP8" i="4"/>
  <c r="AM32" i="13"/>
  <c r="AL7" i="13"/>
  <c r="AL8" i="13" s="1"/>
  <c r="AP43" i="13"/>
  <c r="AI50" i="13"/>
  <c r="AM50" i="13"/>
  <c r="AR42" i="15"/>
  <c r="AO44" i="15"/>
  <c r="AP24" i="13"/>
  <c r="H73" i="4"/>
  <c r="AN73" i="4" s="1"/>
  <c r="AN72" i="4"/>
  <c r="AO49" i="4"/>
  <c r="AO50" i="4" s="1"/>
  <c r="S50" i="4"/>
  <c r="T78" i="12"/>
  <c r="T79" i="12" s="1"/>
  <c r="T14" i="12"/>
  <c r="AP25" i="15"/>
  <c r="U26" i="15"/>
  <c r="U78" i="15"/>
  <c r="AN74" i="8"/>
  <c r="AM8" i="13"/>
  <c r="AK13" i="4"/>
  <c r="AK14" i="4" s="1"/>
  <c r="AO8" i="11"/>
  <c r="AM61" i="12"/>
  <c r="AM62" i="12" s="1"/>
  <c r="AP76" i="11"/>
  <c r="AI50" i="12"/>
  <c r="AR49" i="11"/>
  <c r="U79" i="1"/>
  <c r="AP78" i="1"/>
  <c r="AP79" i="1" s="1"/>
  <c r="AQ49" i="12"/>
  <c r="AC14" i="4"/>
  <c r="AR6" i="13"/>
  <c r="AN62" i="12"/>
  <c r="AL7" i="1"/>
  <c r="AJ7" i="1"/>
  <c r="AJ8" i="1" s="1"/>
  <c r="AO7" i="1"/>
  <c r="AO8" i="1" s="1"/>
  <c r="O8" i="1"/>
  <c r="AP56" i="11"/>
  <c r="AQ18" i="12"/>
  <c r="AI62" i="12"/>
  <c r="AT54" i="11"/>
  <c r="C67" i="1"/>
  <c r="AJ67" i="1"/>
  <c r="V67" i="1"/>
  <c r="AN66" i="1"/>
  <c r="AN67" i="1" s="1"/>
  <c r="V24" i="1"/>
  <c r="AM24" i="1" s="1"/>
  <c r="AM25" i="1" s="1"/>
  <c r="AJ23" i="1"/>
  <c r="AN72" i="1"/>
  <c r="AN73" i="1" s="1"/>
  <c r="AN37" i="1"/>
  <c r="AM29" i="1"/>
  <c r="AM31" i="1" s="1"/>
  <c r="AP19" i="1"/>
  <c r="I62" i="8"/>
  <c r="T62" i="10"/>
  <c r="L20" i="10"/>
  <c r="AQ12" i="11"/>
  <c r="Y62" i="13"/>
  <c r="AA25" i="13"/>
  <c r="AA78" i="13" s="1"/>
  <c r="AA79" i="13" s="1"/>
  <c r="AJ50" i="13"/>
  <c r="AJ42" i="13"/>
  <c r="AQ42" i="13" s="1"/>
  <c r="AQ48" i="13"/>
  <c r="AL50" i="13"/>
  <c r="AN55" i="13"/>
  <c r="AP54" i="13"/>
  <c r="AM56" i="13"/>
  <c r="AL72" i="13"/>
  <c r="AS36" i="15"/>
  <c r="AK44" i="15"/>
  <c r="AM48" i="15"/>
  <c r="AM50" i="15" s="1"/>
  <c r="O50" i="15"/>
  <c r="AC72" i="1"/>
  <c r="AK55" i="4"/>
  <c r="AQ73" i="10"/>
  <c r="AQ74" i="10" s="1"/>
  <c r="AQ24" i="10"/>
  <c r="AO25" i="10"/>
  <c r="AO26" i="10" s="1"/>
  <c r="AM25" i="11"/>
  <c r="AM26" i="11" s="1"/>
  <c r="AG79" i="12"/>
  <c r="AM37" i="12"/>
  <c r="AM38" i="12" s="1"/>
  <c r="AH77" i="12"/>
  <c r="AH79" i="12" s="1"/>
  <c r="W14" i="12"/>
  <c r="AL31" i="13"/>
  <c r="AQ49" i="13"/>
  <c r="AO44" i="13"/>
  <c r="AN60" i="13"/>
  <c r="AN62" i="13" s="1"/>
  <c r="AJ74" i="13"/>
  <c r="F77" i="15"/>
  <c r="U56" i="15"/>
  <c r="Z77" i="15"/>
  <c r="Z79" i="15" s="1"/>
  <c r="AJ79" i="15"/>
  <c r="AL32" i="15"/>
  <c r="AL36" i="15"/>
  <c r="AR36" i="15" s="1"/>
  <c r="AL37" i="15"/>
  <c r="AQ44" i="15"/>
  <c r="O77" i="15"/>
  <c r="AO60" i="1"/>
  <c r="AO61" i="1" s="1"/>
  <c r="AN43" i="1"/>
  <c r="AM56" i="4"/>
  <c r="AQ18" i="4"/>
  <c r="AQ54" i="8"/>
  <c r="AP31" i="8"/>
  <c r="AM12" i="8"/>
  <c r="AK54" i="10"/>
  <c r="AL49" i="10"/>
  <c r="AQ43" i="10"/>
  <c r="AR42" i="10"/>
  <c r="AD62" i="11"/>
  <c r="AM36" i="11"/>
  <c r="AR36" i="11" s="1"/>
  <c r="AJ7" i="12"/>
  <c r="AJ8" i="12" s="1"/>
  <c r="E74" i="13"/>
  <c r="T44" i="13"/>
  <c r="AJ62" i="13"/>
  <c r="AD20" i="15"/>
  <c r="AO7" i="15"/>
  <c r="AL12" i="15"/>
  <c r="AQ12" i="15"/>
  <c r="AQ14" i="15" s="1"/>
  <c r="AO32" i="15"/>
  <c r="AO38" i="15"/>
  <c r="AR43" i="15"/>
  <c r="AN44" i="15"/>
  <c r="AJ73" i="8"/>
  <c r="AM73" i="8"/>
  <c r="AM74" i="8" s="1"/>
  <c r="AP50" i="10"/>
  <c r="AJ56" i="12"/>
  <c r="AN25" i="10"/>
  <c r="AK25" i="10"/>
  <c r="AQ25" i="10"/>
  <c r="AR6" i="8"/>
  <c r="AM8" i="8"/>
  <c r="N85" i="1"/>
  <c r="AR7" i="10"/>
  <c r="AK8" i="12"/>
  <c r="N14" i="13"/>
  <c r="AS12" i="10"/>
  <c r="AK60" i="1"/>
  <c r="AK61" i="1" s="1"/>
  <c r="AC61" i="1"/>
  <c r="V55" i="1"/>
  <c r="AM54" i="1"/>
  <c r="AM55" i="1" s="1"/>
  <c r="AQ67" i="10"/>
  <c r="AQ68" i="10" s="1"/>
  <c r="T68" i="10"/>
  <c r="U44" i="11"/>
  <c r="AO43" i="11"/>
  <c r="F25" i="11"/>
  <c r="AN24" i="11"/>
  <c r="AR24" i="11" s="1"/>
  <c r="AJ61" i="12"/>
  <c r="T62" i="12"/>
  <c r="AP60" i="12"/>
  <c r="AL20" i="12"/>
  <c r="AO29" i="1"/>
  <c r="AK29" i="1"/>
  <c r="T30" i="1"/>
  <c r="T31" i="1" s="1"/>
  <c r="AJ18" i="1"/>
  <c r="S19" i="1"/>
  <c r="AM37" i="10"/>
  <c r="AM38" i="10" s="1"/>
  <c r="I38" i="10"/>
  <c r="AM24" i="10"/>
  <c r="AP18" i="10"/>
  <c r="AP20" i="10" s="1"/>
  <c r="AK18" i="10"/>
  <c r="AQ12" i="10"/>
  <c r="H13" i="10"/>
  <c r="AQ49" i="11"/>
  <c r="T50" i="11"/>
  <c r="AP72" i="12"/>
  <c r="AK76" i="4"/>
  <c r="AO25" i="1"/>
  <c r="K31" i="1"/>
  <c r="I50" i="8"/>
  <c r="AN49" i="8"/>
  <c r="AN50" i="8" s="1"/>
  <c r="AL37" i="10"/>
  <c r="AL38" i="10" s="1"/>
  <c r="AB38" i="10"/>
  <c r="AQ19" i="10"/>
  <c r="AQ20" i="10" s="1"/>
  <c r="T20" i="10"/>
  <c r="J26" i="13"/>
  <c r="AL25" i="13"/>
  <c r="AK82" i="11"/>
  <c r="AK83" i="1"/>
  <c r="AK85" i="1" s="1"/>
  <c r="AO83" i="1"/>
  <c r="AO85" i="1" s="1"/>
  <c r="AC85" i="1"/>
  <c r="T79" i="1"/>
  <c r="AK78" i="1"/>
  <c r="AK79" i="1" s="1"/>
  <c r="AM65" i="1"/>
  <c r="AD67" i="1"/>
  <c r="AC31" i="1"/>
  <c r="AL24" i="1"/>
  <c r="O25" i="1"/>
  <c r="AN17" i="1"/>
  <c r="AN87" i="1" s="1"/>
  <c r="AJ17" i="1"/>
  <c r="V19" i="1"/>
  <c r="U61" i="4"/>
  <c r="AK67" i="10"/>
  <c r="AK68" i="10" s="1"/>
  <c r="H68" i="10"/>
  <c r="AN60" i="10"/>
  <c r="AR60" i="10" s="1"/>
  <c r="U61" i="10"/>
  <c r="AK66" i="11"/>
  <c r="AJ67" i="11"/>
  <c r="T38" i="11"/>
  <c r="AQ37" i="11"/>
  <c r="AB13" i="11"/>
  <c r="AB77" i="11"/>
  <c r="Q73" i="1"/>
  <c r="AP74" i="4"/>
  <c r="AQ66" i="4"/>
  <c r="AF61" i="4"/>
  <c r="AO60" i="4"/>
  <c r="AN60" i="4"/>
  <c r="AQ48" i="4"/>
  <c r="AN44" i="4"/>
  <c r="AQ36" i="4"/>
  <c r="AL31" i="4"/>
  <c r="AM24" i="4"/>
  <c r="AQ6" i="4"/>
  <c r="AL55" i="8"/>
  <c r="AL56" i="8" s="1"/>
  <c r="AP49" i="8"/>
  <c r="AP50" i="8" s="1"/>
  <c r="AM49" i="8"/>
  <c r="AO31" i="10"/>
  <c r="AM31" i="10"/>
  <c r="AO19" i="10"/>
  <c r="AO20" i="10" s="1"/>
  <c r="AN72" i="12"/>
  <c r="AN76" i="12" s="1"/>
  <c r="AE73" i="12"/>
  <c r="F26" i="15"/>
  <c r="AO71" i="1"/>
  <c r="AL67" i="1"/>
  <c r="AL8" i="1"/>
  <c r="F74" i="4"/>
  <c r="AP49" i="4"/>
  <c r="AN48" i="4"/>
  <c r="AP32" i="4"/>
  <c r="AL61" i="8"/>
  <c r="AK55" i="8"/>
  <c r="AJ12" i="8"/>
  <c r="AP37" i="10"/>
  <c r="AP38" i="10" s="1"/>
  <c r="AO37" i="10"/>
  <c r="AN6" i="10"/>
  <c r="AP61" i="11"/>
  <c r="AP62" i="11" s="1"/>
  <c r="N78" i="12"/>
  <c r="N79" i="12" s="1"/>
  <c r="N73" i="12"/>
  <c r="N74" i="12" s="1"/>
  <c r="AK42" i="12"/>
  <c r="AP42" i="12" s="1"/>
  <c r="AM42" i="12"/>
  <c r="AL7" i="12"/>
  <c r="AP7" i="12" s="1"/>
  <c r="S13" i="13"/>
  <c r="S77" i="13"/>
  <c r="AJ26" i="15"/>
  <c r="AK8" i="1"/>
  <c r="AJ49" i="4"/>
  <c r="AJ50" i="4" s="1"/>
  <c r="AN19" i="8"/>
  <c r="AN20" i="8" s="1"/>
  <c r="AE79" i="11"/>
  <c r="AS30" i="11"/>
  <c r="AL66" i="12"/>
  <c r="AJ12" i="12"/>
  <c r="AB13" i="12"/>
  <c r="AI24" i="13"/>
  <c r="AI80" i="13" s="1"/>
  <c r="AC20" i="13"/>
  <c r="AC77" i="13"/>
  <c r="AC79" i="13" s="1"/>
  <c r="G14" i="13"/>
  <c r="AO12" i="13"/>
  <c r="G77" i="13"/>
  <c r="G79" i="13" s="1"/>
  <c r="AQ43" i="13"/>
  <c r="V61" i="13"/>
  <c r="V62" i="13" s="1"/>
  <c r="AM60" i="13"/>
  <c r="AL60" i="13"/>
  <c r="AP60" i="13" s="1"/>
  <c r="AK67" i="13"/>
  <c r="AK68" i="13" s="1"/>
  <c r="Y68" i="13"/>
  <c r="AO67" i="13"/>
  <c r="U68" i="13"/>
  <c r="AD79" i="12"/>
  <c r="U44" i="12"/>
  <c r="V8" i="13"/>
  <c r="AN44" i="13"/>
  <c r="AI60" i="13"/>
  <c r="AI67" i="13"/>
  <c r="AI66" i="13"/>
  <c r="AK72" i="13"/>
  <c r="AN13" i="15"/>
  <c r="AR13" i="15" s="1"/>
  <c r="AL25" i="15"/>
  <c r="AJ7" i="13"/>
  <c r="AO62" i="13"/>
  <c r="AP66" i="13"/>
  <c r="AM72" i="13"/>
  <c r="AM74" i="13" s="1"/>
  <c r="AO12" i="15"/>
  <c r="AM24" i="15"/>
  <c r="AL24" i="15"/>
  <c r="AK32" i="15"/>
  <c r="AS42" i="15"/>
  <c r="AK60" i="15"/>
  <c r="AK62" i="15" s="1"/>
  <c r="AM60" i="15"/>
  <c r="AM62" i="15" s="1"/>
  <c r="AK7" i="15"/>
  <c r="AN12" i="15"/>
  <c r="AO13" i="15"/>
  <c r="AK19" i="15"/>
  <c r="AO24" i="15"/>
  <c r="AP24" i="15"/>
  <c r="AQ32" i="15"/>
  <c r="AP32" i="15"/>
  <c r="AP37" i="15"/>
  <c r="AP38" i="15" s="1"/>
  <c r="AS43" i="15"/>
  <c r="AL44" i="15"/>
  <c r="AM44" i="15"/>
  <c r="AN49" i="15"/>
  <c r="AS49" i="15" s="1"/>
  <c r="AH74" i="13"/>
  <c r="X62" i="13"/>
  <c r="AL19" i="13"/>
  <c r="AP49" i="13"/>
  <c r="AN50" i="13"/>
  <c r="T77" i="13"/>
  <c r="T79" i="13" s="1"/>
  <c r="AM67" i="13"/>
  <c r="AM68" i="13" s="1"/>
  <c r="AN67" i="13"/>
  <c r="O79" i="15"/>
  <c r="AM12" i="15"/>
  <c r="AM14" i="15" s="1"/>
  <c r="AK18" i="15"/>
  <c r="AQ18" i="15"/>
  <c r="AQ20" i="15" s="1"/>
  <c r="W25" i="15"/>
  <c r="AN25" i="15" s="1"/>
  <c r="AM32" i="15"/>
  <c r="AK36" i="15"/>
  <c r="AN37" i="15"/>
  <c r="AN38" i="15" s="1"/>
  <c r="AO60" i="15"/>
  <c r="AO62" i="15" s="1"/>
  <c r="S79" i="15"/>
  <c r="AI79" i="15"/>
  <c r="AR61" i="15"/>
  <c r="AS61" i="15"/>
  <c r="AQ6" i="13"/>
  <c r="AJ74" i="8"/>
  <c r="AP6" i="13"/>
  <c r="AI8" i="12"/>
  <c r="AM20" i="12"/>
  <c r="AR67" i="10"/>
  <c r="AK25" i="11"/>
  <c r="AP49" i="12"/>
  <c r="AQ19" i="4"/>
  <c r="AP19" i="12"/>
  <c r="AI76" i="12"/>
  <c r="AO76" i="12"/>
  <c r="AM67" i="12"/>
  <c r="AM68" i="12" s="1"/>
  <c r="E68" i="12"/>
  <c r="AL25" i="11"/>
  <c r="AP20" i="11"/>
  <c r="I26" i="10"/>
  <c r="AP8" i="10"/>
  <c r="AP24" i="12"/>
  <c r="AT6" i="11"/>
  <c r="AM44" i="11"/>
  <c r="AP8" i="11"/>
  <c r="AQ54" i="12"/>
  <c r="AN38" i="12"/>
  <c r="AK50" i="10"/>
  <c r="AL50" i="11"/>
  <c r="AB26" i="10"/>
  <c r="AP25" i="11"/>
  <c r="AP26" i="11" s="1"/>
  <c r="Y74" i="12"/>
  <c r="AM25" i="10"/>
  <c r="AL60" i="4"/>
  <c r="S56" i="4"/>
  <c r="AL19" i="8"/>
  <c r="X38" i="10"/>
  <c r="I56" i="12"/>
  <c r="AO55" i="12"/>
  <c r="AO74" i="13"/>
  <c r="AT6" i="15"/>
  <c r="AP29" i="1"/>
  <c r="V50" i="4"/>
  <c r="AP37" i="8"/>
  <c r="AM43" i="10"/>
  <c r="AJ32" i="10"/>
  <c r="AJ56" i="13"/>
  <c r="AP55" i="13"/>
  <c r="AL74" i="13"/>
  <c r="AL8" i="15"/>
  <c r="AI83" i="13"/>
  <c r="AQ8" i="15"/>
  <c r="AL6" i="12"/>
  <c r="L20" i="13"/>
  <c r="AN66" i="13"/>
  <c r="AI72" i="13"/>
  <c r="AI73" i="13"/>
  <c r="AB8" i="15"/>
  <c r="AK6" i="15"/>
  <c r="AN6" i="15"/>
  <c r="AM7" i="15"/>
  <c r="AL19" i="15"/>
  <c r="AO19" i="15"/>
  <c r="AO20" i="15" s="1"/>
  <c r="AN18" i="15"/>
  <c r="AR18" i="15" s="1"/>
  <c r="AQ24" i="15"/>
  <c r="AM25" i="15"/>
  <c r="AM37" i="15"/>
  <c r="AK49" i="15"/>
  <c r="AK50" i="15" s="1"/>
  <c r="AL54" i="15"/>
  <c r="AS54" i="15" s="1"/>
  <c r="AP54" i="15"/>
  <c r="AP56" i="15" s="1"/>
  <c r="AM55" i="15"/>
  <c r="AM56" i="15" s="1"/>
  <c r="AQ55" i="15"/>
  <c r="AQ56" i="15" s="1"/>
  <c r="AJ67" i="13"/>
  <c r="AL67" i="13"/>
  <c r="AL68" i="13" s="1"/>
  <c r="AP7" i="15"/>
  <c r="AP12" i="15"/>
  <c r="AN19" i="15"/>
  <c r="U38" i="15"/>
  <c r="AK37" i="15"/>
  <c r="Z74" i="13"/>
  <c r="AN7" i="15"/>
  <c r="AN24" i="15"/>
  <c r="AK24" i="15"/>
  <c r="AK55" i="15"/>
  <c r="AK56" i="15" s="1"/>
  <c r="AO55" i="15"/>
  <c r="AO56" i="15" s="1"/>
  <c r="AK73" i="13"/>
  <c r="AK12" i="15"/>
  <c r="AK13" i="15"/>
  <c r="AL56" i="15"/>
  <c r="AN56" i="15"/>
  <c r="H78" i="15"/>
  <c r="H79" i="15" s="1"/>
  <c r="F78" i="15"/>
  <c r="AC78" i="15"/>
  <c r="AC79" i="15" s="1"/>
  <c r="AC56" i="15"/>
  <c r="AL50" i="15"/>
  <c r="AQ50" i="15"/>
  <c r="AP50" i="15"/>
  <c r="AS42" i="11" l="1"/>
  <c r="AP14" i="10"/>
  <c r="W79" i="13"/>
  <c r="AK76" i="11"/>
  <c r="AL74" i="11"/>
  <c r="AK74" i="11"/>
  <c r="AR19" i="10"/>
  <c r="AN55" i="12"/>
  <c r="AN56" i="12" s="1"/>
  <c r="AQ12" i="12"/>
  <c r="N78" i="13"/>
  <c r="N79" i="13" s="1"/>
  <c r="AO79" i="1"/>
  <c r="AO74" i="10"/>
  <c r="AK25" i="1"/>
  <c r="AR12" i="12"/>
  <c r="AI81" i="12"/>
  <c r="E26" i="12"/>
  <c r="AL25" i="12"/>
  <c r="AL26" i="12" s="1"/>
  <c r="AK14" i="15"/>
  <c r="AR61" i="11"/>
  <c r="V25" i="1"/>
  <c r="AQ25" i="8"/>
  <c r="AJ62" i="8"/>
  <c r="AN38" i="11"/>
  <c r="X14" i="11"/>
  <c r="AM13" i="11"/>
  <c r="AM14" i="11" s="1"/>
  <c r="S26" i="12"/>
  <c r="AN25" i="12"/>
  <c r="AN26" i="12" s="1"/>
  <c r="AN76" i="13"/>
  <c r="AI86" i="12"/>
  <c r="AK25" i="13"/>
  <c r="AK20" i="10"/>
  <c r="AS55" i="8"/>
  <c r="AN26" i="10"/>
  <c r="AR6" i="11"/>
  <c r="U79" i="15"/>
  <c r="AN74" i="4"/>
  <c r="AP37" i="12"/>
  <c r="AL50" i="4"/>
  <c r="W82" i="15"/>
  <c r="AH74" i="12"/>
  <c r="AL73" i="12"/>
  <c r="AL74" i="12" s="1"/>
  <c r="H14" i="12"/>
  <c r="AM13" i="12"/>
  <c r="AM14" i="12" s="1"/>
  <c r="AK13" i="12"/>
  <c r="AK14" i="12" s="1"/>
  <c r="AL25" i="10"/>
  <c r="AI20" i="12"/>
  <c r="AR12" i="11"/>
  <c r="AS12" i="11"/>
  <c r="AL38" i="11"/>
  <c r="AQ18" i="13"/>
  <c r="AM76" i="12"/>
  <c r="AP42" i="13"/>
  <c r="AO20" i="4"/>
  <c r="AO76" i="11"/>
  <c r="AR55" i="11"/>
  <c r="AQ49" i="4"/>
  <c r="AI74" i="13"/>
  <c r="AQ37" i="13"/>
  <c r="AQ38" i="11"/>
  <c r="AK26" i="8"/>
  <c r="AQ67" i="8"/>
  <c r="AR7" i="11"/>
  <c r="AQ37" i="8"/>
  <c r="AM8" i="11"/>
  <c r="S78" i="12"/>
  <c r="S79" i="12" s="1"/>
  <c r="AK44" i="11"/>
  <c r="AO13" i="11"/>
  <c r="AO14" i="11" s="1"/>
  <c r="AK61" i="12"/>
  <c r="AK62" i="12" s="1"/>
  <c r="H62" i="12"/>
  <c r="AK81" i="15"/>
  <c r="AV20" i="15"/>
  <c r="AV42" i="15" s="1"/>
  <c r="AO30" i="1"/>
  <c r="AK74" i="10"/>
  <c r="AO50" i="10"/>
  <c r="AI20" i="13"/>
  <c r="AN76" i="15"/>
  <c r="AV21" i="15"/>
  <c r="AL26" i="15"/>
  <c r="AL38" i="15"/>
  <c r="AJ76" i="4"/>
  <c r="AT18" i="13"/>
  <c r="AK30" i="1"/>
  <c r="AJ30" i="1"/>
  <c r="AJ31" i="1" s="1"/>
  <c r="AO26" i="13"/>
  <c r="AP26" i="10"/>
  <c r="AJ24" i="1"/>
  <c r="AJ25" i="1" s="1"/>
  <c r="AR12" i="10"/>
  <c r="AQ31" i="12"/>
  <c r="AQ13" i="8"/>
  <c r="AI55" i="12"/>
  <c r="AI56" i="12" s="1"/>
  <c r="AL55" i="12"/>
  <c r="AF74" i="4"/>
  <c r="AO73" i="4"/>
  <c r="AO74" i="4" s="1"/>
  <c r="AN82" i="15"/>
  <c r="AN24" i="1"/>
  <c r="AM77" i="11"/>
  <c r="AM88" i="1"/>
  <c r="AL26" i="13"/>
  <c r="AQ76" i="10"/>
  <c r="AN76" i="11"/>
  <c r="AR55" i="10"/>
  <c r="AJ84" i="1"/>
  <c r="AJ85" i="1" s="1"/>
  <c r="AQ26" i="10"/>
  <c r="AS19" i="10"/>
  <c r="AQ12" i="13"/>
  <c r="AJ48" i="1"/>
  <c r="AJ49" i="1" s="1"/>
  <c r="AJ79" i="1"/>
  <c r="AS31" i="11"/>
  <c r="AK31" i="1"/>
  <c r="AM25" i="13"/>
  <c r="AM26" i="13" s="1"/>
  <c r="AN84" i="1"/>
  <c r="AN85" i="1" s="1"/>
  <c r="AN44" i="11"/>
  <c r="F79" i="15"/>
  <c r="AI73" i="12"/>
  <c r="AI74" i="12" s="1"/>
  <c r="AR19" i="11"/>
  <c r="AL20" i="13"/>
  <c r="AK38" i="15"/>
  <c r="AM61" i="13"/>
  <c r="AM73" i="12"/>
  <c r="AM74" i="12" s="1"/>
  <c r="AJ77" i="8"/>
  <c r="AP37" i="13"/>
  <c r="AK76" i="13"/>
  <c r="AK73" i="12"/>
  <c r="P83" i="11"/>
  <c r="AM87" i="1"/>
  <c r="AO77" i="8"/>
  <c r="AO78" i="8" s="1"/>
  <c r="AR31" i="11"/>
  <c r="AL87" i="1"/>
  <c r="AQ24" i="13"/>
  <c r="AL14" i="10"/>
  <c r="Y78" i="13"/>
  <c r="AL14" i="12"/>
  <c r="AM32" i="8"/>
  <c r="AN50" i="15"/>
  <c r="AR49" i="15"/>
  <c r="AP72" i="13"/>
  <c r="AL61" i="13"/>
  <c r="AP76" i="10"/>
  <c r="AS54" i="4"/>
  <c r="U25" i="1"/>
  <c r="AP24" i="1"/>
  <c r="AP25" i="1" s="1"/>
  <c r="AL48" i="1"/>
  <c r="AL49" i="1" s="1"/>
  <c r="F49" i="1"/>
  <c r="AO81" i="15"/>
  <c r="AL76" i="15"/>
  <c r="AK44" i="4"/>
  <c r="AF62" i="10"/>
  <c r="AP61" i="10"/>
  <c r="AP62" i="10" s="1"/>
  <c r="AL25" i="4"/>
  <c r="AL26" i="4" s="1"/>
  <c r="J26" i="4"/>
  <c r="AM61" i="10"/>
  <c r="AM62" i="10" s="1"/>
  <c r="AP26" i="15"/>
  <c r="AN20" i="4"/>
  <c r="AR19" i="4"/>
  <c r="AO32" i="4"/>
  <c r="AR31" i="4"/>
  <c r="Y79" i="13"/>
  <c r="AS48" i="15"/>
  <c r="AR48" i="15"/>
  <c r="AT12" i="15"/>
  <c r="AQ76" i="15"/>
  <c r="AM8" i="15"/>
  <c r="AM82" i="15"/>
  <c r="AS12" i="15"/>
  <c r="AQ73" i="8"/>
  <c r="AM89" i="1"/>
  <c r="AS55" i="15"/>
  <c r="AP8" i="15"/>
  <c r="AP82" i="15"/>
  <c r="AN81" i="15"/>
  <c r="AN83" i="15" s="1"/>
  <c r="AI61" i="13"/>
  <c r="AI62" i="13" s="1"/>
  <c r="AM76" i="11"/>
  <c r="AO14" i="15"/>
  <c r="AN14" i="15"/>
  <c r="AN76" i="4"/>
  <c r="AO76" i="4"/>
  <c r="AK44" i="8"/>
  <c r="AQ43" i="8"/>
  <c r="AN20" i="11"/>
  <c r="AC26" i="4"/>
  <c r="AO25" i="4"/>
  <c r="AO26" i="4" s="1"/>
  <c r="AK25" i="4"/>
  <c r="AK26" i="4" s="1"/>
  <c r="AJ25" i="4"/>
  <c r="AJ26" i="4" s="1"/>
  <c r="E26" i="13"/>
  <c r="E78" i="13"/>
  <c r="E79" i="13" s="1"/>
  <c r="AL74" i="10"/>
  <c r="AR73" i="10"/>
  <c r="AQ67" i="4"/>
  <c r="H26" i="12"/>
  <c r="H78" i="12"/>
  <c r="H79" i="12" s="1"/>
  <c r="AI25" i="12"/>
  <c r="AI26" i="12" s="1"/>
  <c r="AK25" i="12"/>
  <c r="AM25" i="12"/>
  <c r="AM26" i="12" s="1"/>
  <c r="AQ7" i="8"/>
  <c r="AL8" i="8"/>
  <c r="AL82" i="15"/>
  <c r="AJ20" i="12"/>
  <c r="AQ19" i="12"/>
  <c r="AJ14" i="4"/>
  <c r="AK8" i="15"/>
  <c r="AL81" i="15"/>
  <c r="AR55" i="15"/>
  <c r="AL77" i="15"/>
  <c r="AL78" i="15" s="1"/>
  <c r="AL14" i="15"/>
  <c r="AL76" i="13"/>
  <c r="AS18" i="15"/>
  <c r="AJ87" i="1"/>
  <c r="AO8" i="15"/>
  <c r="AM81" i="15"/>
  <c r="AJ36" i="1"/>
  <c r="AJ37" i="1" s="1"/>
  <c r="T37" i="1"/>
  <c r="AO36" i="1"/>
  <c r="AO37" i="1" s="1"/>
  <c r="AL38" i="4"/>
  <c r="AQ37" i="4"/>
  <c r="AQ81" i="15"/>
  <c r="AQ83" i="15" s="1"/>
  <c r="AK36" i="1"/>
  <c r="AK37" i="1" s="1"/>
  <c r="AL85" i="1"/>
  <c r="AN8" i="12"/>
  <c r="AR7" i="12"/>
  <c r="AC14" i="11"/>
  <c r="AC78" i="11"/>
  <c r="AC79" i="11" s="1"/>
  <c r="AP81" i="15"/>
  <c r="AR18" i="11"/>
  <c r="AS18" i="11"/>
  <c r="AK32" i="12"/>
  <c r="AP31" i="12"/>
  <c r="AM20" i="11"/>
  <c r="AP76" i="15"/>
  <c r="AI76" i="13"/>
  <c r="AI84" i="13" s="1"/>
  <c r="AK20" i="15"/>
  <c r="AQ44" i="10"/>
  <c r="AS43" i="10"/>
  <c r="AP32" i="8"/>
  <c r="AR31" i="8"/>
  <c r="AL32" i="13"/>
  <c r="AP31" i="13"/>
  <c r="AM38" i="11"/>
  <c r="AL50" i="10"/>
  <c r="AR49" i="10"/>
  <c r="AQ55" i="4"/>
  <c r="AK56" i="4"/>
  <c r="AJ44" i="13"/>
  <c r="AJ76" i="13"/>
  <c r="AQ14" i="11"/>
  <c r="AQ76" i="11"/>
  <c r="AT12" i="11"/>
  <c r="AS60" i="15"/>
  <c r="AN77" i="8"/>
  <c r="AN78" i="8" s="1"/>
  <c r="AK81" i="10"/>
  <c r="AK56" i="10"/>
  <c r="AC73" i="1"/>
  <c r="AJ72" i="1"/>
  <c r="AK72" i="1"/>
  <c r="AO72" i="1"/>
  <c r="AO73" i="1" s="1"/>
  <c r="AN56" i="13"/>
  <c r="AQ55" i="13"/>
  <c r="AQ31" i="13"/>
  <c r="H74" i="4"/>
  <c r="AL73" i="4"/>
  <c r="AL77" i="4" s="1"/>
  <c r="AJ73" i="4"/>
  <c r="AJ74" i="4" s="1"/>
  <c r="AM76" i="15"/>
  <c r="AR12" i="15"/>
  <c r="AM76" i="8"/>
  <c r="AQ12" i="8"/>
  <c r="AJ25" i="13"/>
  <c r="AJ26" i="13" s="1"/>
  <c r="AA26" i="13"/>
  <c r="AN25" i="13"/>
  <c r="AN26" i="13" s="1"/>
  <c r="AI25" i="13"/>
  <c r="AI26" i="13" s="1"/>
  <c r="AQ37" i="12"/>
  <c r="AM14" i="8"/>
  <c r="AN26" i="15"/>
  <c r="AN68" i="13"/>
  <c r="AP66" i="12"/>
  <c r="AL68" i="12"/>
  <c r="AR6" i="10"/>
  <c r="AS6" i="10"/>
  <c r="AN8" i="10"/>
  <c r="AN76" i="10"/>
  <c r="AQ55" i="8"/>
  <c r="AK56" i="8"/>
  <c r="AP50" i="4"/>
  <c r="AP77" i="4"/>
  <c r="AP78" i="4" s="1"/>
  <c r="AK25" i="15"/>
  <c r="AK26" i="15" s="1"/>
  <c r="AM32" i="10"/>
  <c r="AR31" i="10"/>
  <c r="AM61" i="4"/>
  <c r="AN61" i="4"/>
  <c r="U62" i="4"/>
  <c r="AJ61" i="4"/>
  <c r="H14" i="10"/>
  <c r="AQ13" i="10"/>
  <c r="AK13" i="10"/>
  <c r="AN13" i="10"/>
  <c r="AR24" i="10"/>
  <c r="AM76" i="10"/>
  <c r="AK87" i="1"/>
  <c r="AM67" i="1"/>
  <c r="AK76" i="10"/>
  <c r="F26" i="11"/>
  <c r="AN25" i="11"/>
  <c r="AO25" i="11"/>
  <c r="AN50" i="4"/>
  <c r="AK44" i="12"/>
  <c r="AO76" i="15"/>
  <c r="AO68" i="13"/>
  <c r="AO77" i="13"/>
  <c r="AM76" i="13"/>
  <c r="AO76" i="13"/>
  <c r="AO14" i="13"/>
  <c r="AR12" i="13"/>
  <c r="S14" i="13"/>
  <c r="AN13" i="13"/>
  <c r="AI13" i="13"/>
  <c r="AT19" i="13" s="1"/>
  <c r="AT20" i="13" s="1"/>
  <c r="S78" i="13"/>
  <c r="S79" i="13" s="1"/>
  <c r="AS37" i="10"/>
  <c r="AO38" i="10"/>
  <c r="AL62" i="8"/>
  <c r="AQ61" i="8"/>
  <c r="AE78" i="12"/>
  <c r="AE74" i="12"/>
  <c r="AN73" i="12"/>
  <c r="AN74" i="12" s="1"/>
  <c r="AS31" i="10"/>
  <c r="AO32" i="10"/>
  <c r="AF62" i="4"/>
  <c r="AK61" i="4"/>
  <c r="AO61" i="4"/>
  <c r="AJ68" i="11"/>
  <c r="AN67" i="11"/>
  <c r="AK67" i="11"/>
  <c r="AK68" i="11" s="1"/>
  <c r="AO67" i="11"/>
  <c r="AO68" i="11" s="1"/>
  <c r="AJ19" i="1"/>
  <c r="AO87" i="1"/>
  <c r="AS43" i="11"/>
  <c r="AO44" i="11"/>
  <c r="AR60" i="15"/>
  <c r="AQ60" i="13"/>
  <c r="AI68" i="13"/>
  <c r="AB14" i="12"/>
  <c r="AB78" i="12"/>
  <c r="AB79" i="12" s="1"/>
  <c r="AI13" i="12"/>
  <c r="AJ13" i="12"/>
  <c r="AN13" i="12"/>
  <c r="AQ7" i="12"/>
  <c r="AL77" i="12"/>
  <c r="AM50" i="8"/>
  <c r="AM77" i="8"/>
  <c r="AQ49" i="8"/>
  <c r="AM26" i="4"/>
  <c r="AM76" i="4"/>
  <c r="AB14" i="11"/>
  <c r="AB78" i="11"/>
  <c r="AP13" i="11"/>
  <c r="AL13" i="11"/>
  <c r="AL77" i="11" s="1"/>
  <c r="AL78" i="11" s="1"/>
  <c r="AK26" i="13"/>
  <c r="AP25" i="13"/>
  <c r="AO31" i="1"/>
  <c r="AN19" i="1"/>
  <c r="AL25" i="1"/>
  <c r="AK76" i="12"/>
  <c r="AJ62" i="12"/>
  <c r="AP61" i="12"/>
  <c r="AK13" i="13"/>
  <c r="AK77" i="13" s="1"/>
  <c r="AK78" i="13" s="1"/>
  <c r="AQ77" i="11"/>
  <c r="AS37" i="11"/>
  <c r="AO25" i="15"/>
  <c r="AO82" i="15" s="1"/>
  <c r="AO83" i="15" s="1"/>
  <c r="W26" i="15"/>
  <c r="AQ19" i="13"/>
  <c r="AP19" i="13"/>
  <c r="AJ8" i="13"/>
  <c r="AQ7" i="13"/>
  <c r="AP7" i="13"/>
  <c r="AP12" i="12"/>
  <c r="AJ76" i="12"/>
  <c r="AM44" i="12"/>
  <c r="AQ42" i="12"/>
  <c r="AJ14" i="8"/>
  <c r="AS54" i="8"/>
  <c r="AS56" i="8" s="1"/>
  <c r="AJ76" i="8"/>
  <c r="AJ78" i="8" s="1"/>
  <c r="AL32" i="4"/>
  <c r="AQ31" i="4"/>
  <c r="AO61" i="10"/>
  <c r="AN61" i="10"/>
  <c r="U62" i="10"/>
  <c r="AK61" i="10"/>
  <c r="AK77" i="8"/>
  <c r="AK78" i="8" s="1"/>
  <c r="AK13" i="11"/>
  <c r="AK83" i="11" s="1"/>
  <c r="AK84" i="11" s="1"/>
  <c r="AQ50" i="11"/>
  <c r="AS49" i="11"/>
  <c r="AR37" i="10"/>
  <c r="AP77" i="10"/>
  <c r="AP78" i="10" s="1"/>
  <c r="AT54" i="10"/>
  <c r="AK26" i="10"/>
  <c r="AT55" i="10"/>
  <c r="AR7" i="15"/>
  <c r="AL62" i="13"/>
  <c r="AP61" i="13"/>
  <c r="AR24" i="15"/>
  <c r="AL26" i="10"/>
  <c r="AR25" i="10"/>
  <c r="AL77" i="10"/>
  <c r="AL78" i="10" s="1"/>
  <c r="AK76" i="15"/>
  <c r="AK74" i="13"/>
  <c r="AP73" i="13"/>
  <c r="AS6" i="15"/>
  <c r="AR6" i="15"/>
  <c r="AL8" i="12"/>
  <c r="AP6" i="12"/>
  <c r="AL76" i="12"/>
  <c r="AQ6" i="12"/>
  <c r="AP14" i="15"/>
  <c r="AS7" i="15"/>
  <c r="AP87" i="1"/>
  <c r="AP31" i="1"/>
  <c r="AS24" i="15"/>
  <c r="AL20" i="8"/>
  <c r="AL77" i="8"/>
  <c r="AL78" i="8" s="1"/>
  <c r="AM26" i="10"/>
  <c r="AM77" i="10"/>
  <c r="AP73" i="12"/>
  <c r="AK74" i="12"/>
  <c r="AK77" i="12"/>
  <c r="AN25" i="1"/>
  <c r="AN88" i="1"/>
  <c r="AN89" i="1" s="1"/>
  <c r="AL77" i="13"/>
  <c r="AL78" i="13" s="1"/>
  <c r="AI77" i="13"/>
  <c r="AI78" i="13" s="1"/>
  <c r="AN8" i="15"/>
  <c r="AN20" i="15"/>
  <c r="AR37" i="15"/>
  <c r="AS37" i="15"/>
  <c r="AM38" i="15"/>
  <c r="AT7" i="15"/>
  <c r="AQ61" i="13"/>
  <c r="AM62" i="13"/>
  <c r="AM77" i="13"/>
  <c r="AM44" i="10"/>
  <c r="AR43" i="10"/>
  <c r="AQ26" i="15"/>
  <c r="AO56" i="12"/>
  <c r="AO77" i="12"/>
  <c r="AO78" i="12" s="1"/>
  <c r="AQ55" i="12"/>
  <c r="AQ19" i="8"/>
  <c r="AR25" i="11"/>
  <c r="AL26" i="11"/>
  <c r="AK26" i="11"/>
  <c r="AP77" i="15"/>
  <c r="AM77" i="15"/>
  <c r="AR54" i="15"/>
  <c r="AP67" i="13"/>
  <c r="AJ68" i="13"/>
  <c r="AM26" i="15"/>
  <c r="AS25" i="15"/>
  <c r="AR25" i="15"/>
  <c r="AS19" i="15"/>
  <c r="AL20" i="15"/>
  <c r="AR19" i="15"/>
  <c r="AP38" i="8"/>
  <c r="AP77" i="8"/>
  <c r="AP78" i="8" s="1"/>
  <c r="AR37" i="8"/>
  <c r="AL62" i="4"/>
  <c r="AQ60" i="4"/>
  <c r="AL76" i="4"/>
  <c r="AL88" i="1" l="1"/>
  <c r="AL89" i="1" s="1"/>
  <c r="AV43" i="15"/>
  <c r="AV44" i="15" s="1"/>
  <c r="AV22" i="15"/>
  <c r="AM78" i="11"/>
  <c r="AL56" i="12"/>
  <c r="AP55" i="12"/>
  <c r="AK82" i="15"/>
  <c r="AK83" i="15" s="1"/>
  <c r="AK84" i="15" s="1"/>
  <c r="AK78" i="12"/>
  <c r="AL78" i="4"/>
  <c r="AI77" i="12"/>
  <c r="AI78" i="12" s="1"/>
  <c r="AL78" i="12"/>
  <c r="AP88" i="1"/>
  <c r="AP89" i="1" s="1"/>
  <c r="AP78" i="15"/>
  <c r="AM78" i="13"/>
  <c r="AM78" i="10"/>
  <c r="AO88" i="1"/>
  <c r="AO89" i="1" s="1"/>
  <c r="AL83" i="15"/>
  <c r="AP25" i="12"/>
  <c r="AK26" i="12"/>
  <c r="AS55" i="4"/>
  <c r="AS56" i="4" s="1"/>
  <c r="AP83" i="15"/>
  <c r="AM78" i="15"/>
  <c r="AM78" i="8"/>
  <c r="AM83" i="15"/>
  <c r="AM77" i="12"/>
  <c r="AM78" i="12" s="1"/>
  <c r="AQ78" i="11"/>
  <c r="AL74" i="4"/>
  <c r="AQ73" i="4"/>
  <c r="AJ73" i="1"/>
  <c r="AJ88" i="1"/>
  <c r="AJ89" i="1" s="1"/>
  <c r="AQ25" i="13"/>
  <c r="AK73" i="1"/>
  <c r="AK88" i="1"/>
  <c r="AK89" i="1" s="1"/>
  <c r="AJ77" i="13"/>
  <c r="AJ78" i="13" s="1"/>
  <c r="AT56" i="10"/>
  <c r="AO62" i="10"/>
  <c r="AO77" i="10"/>
  <c r="AO78" i="10" s="1"/>
  <c r="AP14" i="11"/>
  <c r="AP77" i="11"/>
  <c r="AP78" i="11" s="1"/>
  <c r="AI14" i="12"/>
  <c r="AI87" i="12"/>
  <c r="AI88" i="12" s="1"/>
  <c r="AI82" i="12"/>
  <c r="AI83" i="12" s="1"/>
  <c r="AO62" i="4"/>
  <c r="AO77" i="4"/>
  <c r="AO78" i="4" s="1"/>
  <c r="AO78" i="13"/>
  <c r="AN26" i="11"/>
  <c r="AN77" i="11"/>
  <c r="AN78" i="11" s="1"/>
  <c r="AK14" i="10"/>
  <c r="AK77" i="10"/>
  <c r="AK78" i="10" s="1"/>
  <c r="AN62" i="10"/>
  <c r="AR61" i="10"/>
  <c r="AK62" i="10"/>
  <c r="AK82" i="10"/>
  <c r="AK83" i="10" s="1"/>
  <c r="AO26" i="15"/>
  <c r="AO77" i="15"/>
  <c r="AO78" i="15" s="1"/>
  <c r="AK14" i="13"/>
  <c r="AP13" i="13"/>
  <c r="AB79" i="11"/>
  <c r="P84" i="11"/>
  <c r="P85" i="11" s="1"/>
  <c r="AK77" i="4"/>
  <c r="AK78" i="4" s="1"/>
  <c r="AQ61" i="4"/>
  <c r="AK62" i="4"/>
  <c r="AI81" i="13"/>
  <c r="AI82" i="13" s="1"/>
  <c r="AI14" i="13"/>
  <c r="AQ14" i="10"/>
  <c r="AQ77" i="10"/>
  <c r="AQ78" i="10" s="1"/>
  <c r="AN62" i="4"/>
  <c r="AN77" i="4"/>
  <c r="AN78" i="4" s="1"/>
  <c r="AN14" i="12"/>
  <c r="AN77" i="12"/>
  <c r="AN78" i="12" s="1"/>
  <c r="AN68" i="11"/>
  <c r="AR67" i="11"/>
  <c r="AN14" i="13"/>
  <c r="AN77" i="13"/>
  <c r="AN78" i="13" s="1"/>
  <c r="AM77" i="4"/>
  <c r="AM78" i="4" s="1"/>
  <c r="AM62" i="4"/>
  <c r="AK14" i="11"/>
  <c r="AK77" i="11"/>
  <c r="AK78" i="11" s="1"/>
  <c r="AR13" i="11"/>
  <c r="AL14" i="11"/>
  <c r="AJ14" i="12"/>
  <c r="AP13" i="12"/>
  <c r="AJ77" i="12"/>
  <c r="AJ78" i="12" s="1"/>
  <c r="AO26" i="11"/>
  <c r="AO77" i="11"/>
  <c r="AO78" i="11" s="1"/>
  <c r="AN14" i="10"/>
  <c r="AR13" i="10"/>
  <c r="AN77" i="10"/>
  <c r="AN78" i="10" s="1"/>
  <c r="AS13" i="10"/>
  <c r="AJ62" i="4"/>
  <c r="AJ77" i="4"/>
  <c r="AJ78" i="4" s="1"/>
  <c r="AT55" i="11"/>
  <c r="AT56" i="11" s="1"/>
  <c r="V74" i="15"/>
  <c r="AN77" i="15"/>
  <c r="AN78" i="15" s="1"/>
  <c r="AQ77" i="15"/>
  <c r="AQ78" i="15" s="1"/>
  <c r="AK77" i="15"/>
  <c r="AK78" i="15" s="1"/>
  <c r="AK32" i="16"/>
  <c r="AK78" i="16"/>
  <c r="AK79" i="16" s="1"/>
  <c r="AP77" i="16" l="1"/>
  <c r="AP78" i="16" s="1"/>
  <c r="AO78" i="16"/>
  <c r="AC68" i="16"/>
  <c r="AQ67" i="16"/>
  <c r="AT67" i="16" s="1"/>
  <c r="AC78" i="16"/>
  <c r="AC79" i="16" s="1"/>
  <c r="AL67" i="16"/>
  <c r="AL68" i="16" s="1"/>
  <c r="AM67" i="16"/>
  <c r="AS67" i="16" s="1"/>
  <c r="AM68" i="16" l="1"/>
  <c r="AM77" i="16"/>
  <c r="AM78" i="16" s="1"/>
  <c r="AQ68" i="16"/>
  <c r="AQ77" i="16"/>
  <c r="AQ78" i="16" s="1"/>
  <c r="AL77" i="16"/>
  <c r="AL78" i="16" s="1"/>
  <c r="T14" i="18" l="1"/>
  <c r="T78" i="18"/>
  <c r="T79" i="18" s="1"/>
  <c r="AF20" i="18" l="1"/>
  <c r="AO77" i="18" l="1"/>
  <c r="AO78" i="18" s="1"/>
  <c r="O83" i="18"/>
  <c r="O38" i="18"/>
  <c r="O78" i="18"/>
  <c r="O79" i="18" s="1"/>
  <c r="AP37" i="18"/>
  <c r="AP38" i="18" s="1"/>
  <c r="AN37" i="18"/>
  <c r="AN77" i="18" l="1"/>
  <c r="AN78" i="18" s="1"/>
  <c r="AN38" i="18"/>
  <c r="AP77" i="18"/>
  <c r="AP78" i="18" s="1"/>
  <c r="S38" i="18"/>
  <c r="S78" i="18"/>
  <c r="S79" i="18" s="1"/>
  <c r="AM37" i="18"/>
  <c r="AM38" i="18" s="1"/>
  <c r="AM77" i="18"/>
  <c r="AM78" i="18" s="1"/>
  <c r="AQ37" i="18"/>
  <c r="AU37" i="18" s="1"/>
  <c r="AL37" i="18"/>
  <c r="AL38" i="18" s="1"/>
  <c r="AL77" i="18"/>
  <c r="AL78" i="18" s="1"/>
  <c r="AS37" i="18" l="1"/>
  <c r="AQ38" i="18"/>
  <c r="AT37" i="18"/>
  <c r="AQ77" i="18"/>
  <c r="AQ78" i="18" s="1"/>
</calcChain>
</file>

<file path=xl/sharedStrings.xml><?xml version="1.0" encoding="utf-8"?>
<sst xmlns="http://schemas.openxmlformats.org/spreadsheetml/2006/main" count="1866" uniqueCount="231">
  <si>
    <t>Long Bay</t>
  </si>
  <si>
    <t>Rooms Available</t>
  </si>
  <si>
    <t>Rooms Occupied</t>
  </si>
  <si>
    <t>November</t>
  </si>
  <si>
    <t>%</t>
  </si>
  <si>
    <t>Tradewinds</t>
  </si>
  <si>
    <t>Galley Bay</t>
  </si>
  <si>
    <t>Antigua Village</t>
  </si>
  <si>
    <t>Galleon Beach</t>
  </si>
  <si>
    <t>Sandals</t>
  </si>
  <si>
    <t>BlueWaters</t>
  </si>
  <si>
    <t>The Inn</t>
  </si>
  <si>
    <t>Dian Bay</t>
  </si>
  <si>
    <t>Total</t>
  </si>
  <si>
    <t>Jolly Beach</t>
  </si>
  <si>
    <t xml:space="preserve"> </t>
  </si>
  <si>
    <t>Grand Royal</t>
  </si>
  <si>
    <t>Cocobay</t>
  </si>
  <si>
    <t>Coconut Beach</t>
  </si>
  <si>
    <t>Carlisle Bay</t>
  </si>
  <si>
    <t>Siboney Beach Club</t>
  </si>
  <si>
    <t>Over 150 Rooms</t>
  </si>
  <si>
    <t>50-150 Rooms</t>
  </si>
  <si>
    <t>Under 50 Rooms</t>
  </si>
  <si>
    <t>Admirals Inn</t>
  </si>
  <si>
    <t>Antigua Beachcomber</t>
  </si>
  <si>
    <t>Copper &amp; Lumber</t>
  </si>
  <si>
    <t>Heritage Hotel</t>
  </si>
  <si>
    <t>Jumby Bay</t>
  </si>
  <si>
    <t>Marina Bay</t>
  </si>
  <si>
    <t>Ocean Inn</t>
  </si>
  <si>
    <t>Catamaran</t>
  </si>
  <si>
    <t>St James'</t>
  </si>
  <si>
    <t>Pineapple</t>
  </si>
  <si>
    <t>Hawksbill</t>
  </si>
  <si>
    <t>Curtain Bluff</t>
  </si>
  <si>
    <t>Hotel Size</t>
  </si>
  <si>
    <t>Hotel Category</t>
  </si>
  <si>
    <t>Hermitage Bay</t>
  </si>
  <si>
    <t>Antigua Yacht Club Marina</t>
  </si>
  <si>
    <t>Cocos</t>
  </si>
  <si>
    <t>Sunsail</t>
  </si>
  <si>
    <t>December</t>
  </si>
  <si>
    <t>Luxury</t>
  </si>
  <si>
    <t>Midrange</t>
  </si>
  <si>
    <t>Budget</t>
  </si>
  <si>
    <t>January</t>
  </si>
  <si>
    <t>Overall Occupancy</t>
  </si>
  <si>
    <t>Sample</t>
  </si>
  <si>
    <t>Mid Range</t>
  </si>
  <si>
    <t>Mid size 50-150</t>
  </si>
  <si>
    <t>Small &lt; 50</t>
  </si>
  <si>
    <t>February</t>
  </si>
  <si>
    <t>Large &gt; 150 rooms</t>
  </si>
  <si>
    <t>March</t>
  </si>
  <si>
    <t>Halcyon Cove</t>
  </si>
  <si>
    <t>April</t>
  </si>
  <si>
    <t>May</t>
  </si>
  <si>
    <t>June</t>
  </si>
  <si>
    <t>July</t>
  </si>
  <si>
    <t>Rooms</t>
  </si>
  <si>
    <t>Year to date</t>
  </si>
  <si>
    <t>August</t>
  </si>
  <si>
    <t>September</t>
  </si>
  <si>
    <t>October</t>
  </si>
  <si>
    <t>Annual</t>
  </si>
  <si>
    <t>Average Occupancies</t>
  </si>
  <si>
    <t>Blue Heron</t>
  </si>
  <si>
    <t>The Verandah</t>
  </si>
  <si>
    <t>Jolly Beach Vacations</t>
  </si>
  <si>
    <t>Room Sample</t>
  </si>
  <si>
    <t>March 2008</t>
  </si>
  <si>
    <t>March 2007</t>
  </si>
  <si>
    <t>April 2008</t>
  </si>
  <si>
    <t>April 2007</t>
  </si>
  <si>
    <t>May 2008</t>
  </si>
  <si>
    <t>May 2007</t>
  </si>
  <si>
    <t>No of Hotels</t>
  </si>
  <si>
    <t>June 2008</t>
  </si>
  <si>
    <t>June 2007</t>
  </si>
  <si>
    <t>July 2008</t>
  </si>
  <si>
    <t>July 2007</t>
  </si>
  <si>
    <t>August 2008</t>
  </si>
  <si>
    <t>August 2007</t>
  </si>
  <si>
    <t>September 2008</t>
  </si>
  <si>
    <t>September 2007</t>
  </si>
  <si>
    <t>October 2008</t>
  </si>
  <si>
    <t>October 2007</t>
  </si>
  <si>
    <t>December 2008</t>
  </si>
  <si>
    <t>December 2007</t>
  </si>
  <si>
    <t>January 2008</t>
  </si>
  <si>
    <t>January 2009</t>
  </si>
  <si>
    <t>January 2007</t>
  </si>
  <si>
    <t>February 2009</t>
  </si>
  <si>
    <t>February 2008</t>
  </si>
  <si>
    <t>February 2007</t>
  </si>
  <si>
    <t>Buccaneer Cove</t>
  </si>
  <si>
    <t>March 2009</t>
  </si>
  <si>
    <t>May 2009</t>
  </si>
  <si>
    <t>April 2009</t>
  </si>
  <si>
    <t>June 2009</t>
  </si>
  <si>
    <t>July 2009</t>
  </si>
  <si>
    <t>August 2009</t>
  </si>
  <si>
    <t>September 2009</t>
  </si>
  <si>
    <t>50,3%</t>
  </si>
  <si>
    <t>49,5%</t>
  </si>
  <si>
    <t>51,4%</t>
  </si>
  <si>
    <t>52,2%</t>
  </si>
  <si>
    <t>50,7%</t>
  </si>
  <si>
    <t>50,4%</t>
  </si>
  <si>
    <t>45,7%</t>
  </si>
  <si>
    <t>October 2009</t>
  </si>
  <si>
    <t>November 2009</t>
  </si>
  <si>
    <t>November 2008</t>
  </si>
  <si>
    <t>November 2007</t>
  </si>
  <si>
    <t>December 2009</t>
  </si>
  <si>
    <t>Total Year 2009</t>
  </si>
  <si>
    <t>Total Year 2008</t>
  </si>
  <si>
    <t>Total Year 2007</t>
  </si>
  <si>
    <t>January 2010</t>
  </si>
  <si>
    <t>Sugar Ridge</t>
  </si>
  <si>
    <t>February 2010</t>
  </si>
  <si>
    <t>July 2010</t>
  </si>
  <si>
    <t>October 2010</t>
  </si>
  <si>
    <t>Total Year 2010</t>
  </si>
  <si>
    <t>January 2011</t>
  </si>
  <si>
    <t>Tranquility Bay</t>
  </si>
  <si>
    <t>February 2011</t>
  </si>
  <si>
    <t>March 2010</t>
  </si>
  <si>
    <t>March 2011</t>
  </si>
  <si>
    <t>April 2011</t>
  </si>
  <si>
    <t>April 2010</t>
  </si>
  <si>
    <t>May 2011</t>
  </si>
  <si>
    <t>May 2010</t>
  </si>
  <si>
    <t>June 2010</t>
  </si>
  <si>
    <t>June 2011</t>
  </si>
  <si>
    <t>July 2011</t>
  </si>
  <si>
    <t>August 2011</t>
  </si>
  <si>
    <t>August 2010</t>
  </si>
  <si>
    <t>September 2010</t>
  </si>
  <si>
    <t>September 2011</t>
  </si>
  <si>
    <t>October 2011</t>
  </si>
  <si>
    <t>November 2010</t>
  </si>
  <si>
    <t>November 2011</t>
  </si>
  <si>
    <t>x</t>
  </si>
  <si>
    <t>December 2011</t>
  </si>
  <si>
    <t>December 2010</t>
  </si>
  <si>
    <t>Total Year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</si>
  <si>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</si>
  <si>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</si>
  <si>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</si>
  <si>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</si>
  <si>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</si>
  <si>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</si>
  <si>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</si>
  <si>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</si>
  <si>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</si>
  <si>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Cityview</t>
  </si>
  <si>
    <t>October 2012</t>
  </si>
  <si>
    <t>Dickenson bay cottages</t>
  </si>
  <si>
    <t>November 2012</t>
  </si>
  <si>
    <t>December 2012</t>
  </si>
  <si>
    <t>Total Year 2012</t>
  </si>
  <si>
    <t>January 2013</t>
  </si>
  <si>
    <t>February 2013</t>
  </si>
  <si>
    <t>April 2013</t>
  </si>
  <si>
    <t>May 2013</t>
  </si>
  <si>
    <t>March 2013</t>
  </si>
  <si>
    <t>June 2013</t>
  </si>
  <si>
    <t>July 2013</t>
  </si>
  <si>
    <t>August 2013</t>
  </si>
  <si>
    <t>September 2013</t>
  </si>
  <si>
    <t>October 2013</t>
  </si>
  <si>
    <t>Total Year 2013</t>
  </si>
  <si>
    <t>December 2013</t>
  </si>
  <si>
    <t>November 2013</t>
  </si>
  <si>
    <t>Ocean Point</t>
  </si>
  <si>
    <t>January 2014</t>
  </si>
  <si>
    <t>February 2014</t>
  </si>
  <si>
    <t>Anchorage Inn</t>
  </si>
  <si>
    <t>March 2014</t>
  </si>
  <si>
    <t>April 2014</t>
  </si>
  <si>
    <t>May 2014</t>
  </si>
  <si>
    <t>Keyonna</t>
  </si>
  <si>
    <t>June 2014</t>
  </si>
  <si>
    <t>July 2014</t>
  </si>
  <si>
    <t>August 2014</t>
  </si>
  <si>
    <t>September 2014</t>
  </si>
  <si>
    <t>October 2014</t>
  </si>
  <si>
    <t>November 2014</t>
  </si>
  <si>
    <t>Hotels</t>
  </si>
  <si>
    <t>Hotels +150 Rooms</t>
  </si>
  <si>
    <t>Hotels 50-150 Rooms</t>
  </si>
  <si>
    <t>Hotels -50 Rooms</t>
  </si>
  <si>
    <t>Rex Halcyon Cove</t>
  </si>
  <si>
    <t>Grand Pineapple</t>
  </si>
  <si>
    <t>Saint James's Club</t>
  </si>
  <si>
    <t>Verandah</t>
  </si>
  <si>
    <t>Catanaran Hotel</t>
  </si>
  <si>
    <t>Dickenson Bay Cottages</t>
  </si>
  <si>
    <t>Keyonna Beach</t>
  </si>
  <si>
    <t>The Inn at English Harbour</t>
  </si>
  <si>
    <t xml:space="preserve">Luxusry </t>
  </si>
  <si>
    <t>December 2014</t>
  </si>
  <si>
    <t>South Point</t>
  </si>
  <si>
    <t>January 2015</t>
  </si>
  <si>
    <t>February 2015</t>
  </si>
  <si>
    <t>March 2015</t>
  </si>
  <si>
    <t>Total Year 2014</t>
  </si>
  <si>
    <t>Jan to March 2015</t>
  </si>
  <si>
    <t>Jan to March 2014</t>
  </si>
  <si>
    <t>Year to date  2015</t>
  </si>
  <si>
    <t>April 2015</t>
  </si>
  <si>
    <t xml:space="preserve">   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</si>
  <si>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</si>
  <si>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</si>
  <si>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</si>
  <si>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</si>
  <si>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</si>
  <si>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</si>
  <si>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</si>
  <si>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</si>
  <si>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 xml:space="preserve">  </t>
  </si>
  <si>
    <t>January 2016</t>
  </si>
  <si>
    <t>February 2016</t>
  </si>
  <si>
    <t>March 2016</t>
  </si>
  <si>
    <t>Year to date  2016</t>
  </si>
  <si>
    <t>April 2016</t>
  </si>
  <si>
    <t>May 2016</t>
  </si>
  <si>
    <t>June 2016</t>
  </si>
  <si>
    <t>July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</si>
</sst>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0.0000"/>
  </numFmts>
  <fonts count="18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textRotation="90"/>
    </xf>
    <xf numFmtId="0" fontId="2" fillId="0" borderId="0" xfId="0" applyFont="1"/>
    <xf numFmtId="164" fontId="3" fillId="0" borderId="0" xfId="0" applyNumberFormat="1" applyFont="1"/>
    <xf numFmtId="0" fontId="4" fillId="0" borderId="0" xfId="0" applyFont="1" applyAlignment="1">
      <alignment textRotation="90"/>
    </xf>
    <xf numFmtId="0" fontId="4" fillId="0" borderId="0" xfId="0" applyFont="1"/>
    <xf numFmtId="164" fontId="5" fillId="0" borderId="0" xfId="0" applyNumberFormat="1" applyFont="1"/>
    <xf numFmtId="0" fontId="6" fillId="0" borderId="0" xfId="0" applyFont="1" applyAlignment="1">
      <alignment textRotation="90"/>
    </xf>
    <xf numFmtId="0" fontId="7" fillId="0" borderId="0" xfId="0" applyFont="1" applyAlignment="1">
      <alignment textRotation="90"/>
    </xf>
    <xf numFmtId="0" fontId="8" fillId="0" borderId="0" xfId="0" applyFont="1" applyAlignment="1">
      <alignment textRotation="90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9" fontId="0" fillId="0" borderId="1" xfId="2" applyFont="1" applyBorder="1"/>
    <xf numFmtId="164" fontId="0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1" xfId="0" applyNumberFormat="1" applyBorder="1"/>
    <xf numFmtId="10" fontId="11" fillId="0" borderId="1" xfId="0" applyNumberFormat="1" applyFont="1" applyBorder="1"/>
    <xf numFmtId="0" fontId="0" fillId="0" borderId="1" xfId="0" applyBorder="1"/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164" fontId="12" fillId="0" borderId="1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9" fontId="12" fillId="0" borderId="1" xfId="2" applyFont="1" applyBorder="1"/>
    <xf numFmtId="0" fontId="10" fillId="0" borderId="0" xfId="0" applyFont="1"/>
    <xf numFmtId="0" fontId="3" fillId="0" borderId="0" xfId="0" applyFont="1"/>
    <xf numFmtId="164" fontId="3" fillId="0" borderId="1" xfId="2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" xfId="2" applyFont="1" applyBorder="1"/>
    <xf numFmtId="164" fontId="3" fillId="0" borderId="0" xfId="2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9" fillId="0" borderId="0" xfId="1" applyAlignment="1" applyProtection="1"/>
    <xf numFmtId="17" fontId="5" fillId="0" borderId="0" xfId="0" quotePrefix="1" applyNumberFormat="1" applyFont="1" applyAlignment="1">
      <alignment horizontal="center"/>
    </xf>
    <xf numFmtId="0" fontId="14" fillId="0" borderId="0" xfId="0" applyFont="1"/>
    <xf numFmtId="164" fontId="15" fillId="0" borderId="0" xfId="0" applyNumberFormat="1" applyFont="1"/>
    <xf numFmtId="0" fontId="16" fillId="0" borderId="0" xfId="0" applyFont="1" applyAlignment="1">
      <alignment horizontal="center"/>
    </xf>
    <xf numFmtId="1" fontId="13" fillId="0" borderId="0" xfId="0" applyNumberFormat="1" applyFont="1"/>
    <xf numFmtId="0" fontId="4" fillId="0" borderId="0" xfId="0" applyFont="1" applyAlignment="1">
      <alignment horizontal="center"/>
    </xf>
    <xf numFmtId="165" fontId="13" fillId="0" borderId="0" xfId="0" applyNumberFormat="1" applyFont="1"/>
    <xf numFmtId="165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0" borderId="2" xfId="0" applyFont="1" applyBorder="1" applyAlignment="1">
      <alignment horizontal="center"/>
    </xf>
    <xf numFmtId="0" fontId="1" fillId="0" borderId="3" xfId="0" applyFont="1" applyBorder="1"/>
    <xf numFmtId="165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13" fillId="0" borderId="0" xfId="0" applyNumberFormat="1" applyFont="1"/>
    <xf numFmtId="164" fontId="17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/>
    </xf>
    <xf numFmtId="166" fontId="1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8" borderId="0" xfId="0" applyFont="1" applyFill="1" applyAlignment="1">
      <alignment textRotation="9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7" fontId="5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quotePrefix="1" applyNumberFormat="1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9"/>
  <sheetViews>
    <sheetView topLeftCell="A2" zoomScale="75" workbookViewId="0">
      <pane xSplit="1" ySplit="3" topLeftCell="I35" activePane="bottomRight" state="frozen"/>
      <selection activeCell="A2" sqref="A2"/>
      <selection pane="topRight" activeCell="B2" sqref="B2"/>
      <selection pane="bottomLeft" activeCell="A5" sqref="A5"/>
      <selection pane="bottomRight" activeCell="AF83" sqref="AF83"/>
    </sheetView>
  </sheetViews>
  <sheetFormatPr defaultRowHeight="12.75" x14ac:dyDescent="0.2"/>
  <cols>
    <col min="1" max="1" width="16" customWidth="1"/>
    <col min="2" max="2" width="7.5703125" customWidth="1"/>
    <col min="3" max="14" width="6.28515625" customWidth="1"/>
    <col min="15" max="15" width="5.28515625" customWidth="1"/>
    <col min="16" max="16" width="5.7109375" customWidth="1"/>
    <col min="17" max="24" width="5.28515625" customWidth="1"/>
    <col min="25" max="28" width="5.7109375" customWidth="1"/>
    <col min="29" max="29" width="6.7109375" customWidth="1"/>
    <col min="30" max="32" width="5.140625" customWidth="1"/>
    <col min="33" max="34" width="6" customWidth="1"/>
    <col min="35" max="35" width="5.7109375" customWidth="1"/>
    <col min="36" max="36" width="7.85546875" customWidth="1"/>
    <col min="37" max="37" width="8.7109375" customWidth="1"/>
    <col min="38" max="38" width="6.7109375" customWidth="1"/>
    <col min="39" max="39" width="8.28515625" customWidth="1"/>
    <col min="40" max="40" width="8" customWidth="1"/>
    <col min="41" max="41" width="7.42578125" customWidth="1"/>
    <col min="42" max="42" width="6.28515625" customWidth="1"/>
  </cols>
  <sheetData>
    <row r="1" spans="1:42" x14ac:dyDescent="0.2">
      <c r="M1" t="s">
        <v>15</v>
      </c>
      <c r="U1" t="s">
        <v>15</v>
      </c>
      <c r="W1" t="s">
        <v>15</v>
      </c>
      <c r="X1" t="s">
        <v>15</v>
      </c>
    </row>
    <row r="2" spans="1:42" x14ac:dyDescent="0.2">
      <c r="A2" t="s">
        <v>36</v>
      </c>
      <c r="B2" s="10"/>
      <c r="C2" s="10"/>
      <c r="D2" s="10"/>
      <c r="E2" s="11"/>
      <c r="F2" s="11"/>
      <c r="G2" s="11"/>
      <c r="H2" s="10"/>
      <c r="I2" s="11"/>
      <c r="J2" s="11"/>
      <c r="K2" s="11"/>
      <c r="L2" s="10"/>
      <c r="M2" s="10"/>
      <c r="N2" s="11"/>
      <c r="O2" s="11"/>
      <c r="P2" s="10"/>
      <c r="Q2" s="11"/>
      <c r="R2" s="12"/>
      <c r="S2" s="11"/>
      <c r="T2" s="12"/>
      <c r="U2" s="10"/>
      <c r="V2" s="10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0"/>
      <c r="AH2" s="10"/>
      <c r="AI2" s="10"/>
    </row>
    <row r="3" spans="1:42" x14ac:dyDescent="0.2">
      <c r="A3" t="s">
        <v>37</v>
      </c>
      <c r="B3" s="14"/>
      <c r="C3" s="15"/>
      <c r="D3" s="14"/>
      <c r="E3" s="14"/>
      <c r="F3" s="14"/>
      <c r="G3" s="13"/>
      <c r="H3" s="15"/>
      <c r="I3" s="13"/>
      <c r="J3" s="14"/>
      <c r="K3" s="14"/>
      <c r="L3" s="14"/>
      <c r="M3" s="14"/>
      <c r="N3" s="13"/>
      <c r="O3" s="14"/>
      <c r="P3" s="14"/>
      <c r="Q3" s="13"/>
      <c r="R3" s="14"/>
      <c r="S3" s="14"/>
      <c r="T3" s="14"/>
      <c r="U3" s="15"/>
      <c r="V3" s="13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3"/>
    </row>
    <row r="4" spans="1:42" ht="124.5" x14ac:dyDescent="0.2">
      <c r="B4" s="7" t="s">
        <v>24</v>
      </c>
      <c r="C4" s="7" t="s">
        <v>25</v>
      </c>
      <c r="D4" s="7" t="s">
        <v>7</v>
      </c>
      <c r="E4" s="8" t="s">
        <v>39</v>
      </c>
      <c r="F4" s="8" t="s">
        <v>67</v>
      </c>
      <c r="G4" s="8" t="s">
        <v>10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8" t="s">
        <v>12</v>
      </c>
      <c r="P4" s="7" t="s">
        <v>8</v>
      </c>
      <c r="Q4" s="8" t="s">
        <v>6</v>
      </c>
      <c r="R4" s="9" t="s">
        <v>16</v>
      </c>
      <c r="S4" s="8" t="s">
        <v>34</v>
      </c>
      <c r="T4" s="9" t="s">
        <v>55</v>
      </c>
      <c r="U4" s="7" t="s">
        <v>27</v>
      </c>
      <c r="V4" s="7" t="s">
        <v>38</v>
      </c>
      <c r="W4" s="9" t="s">
        <v>14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41</v>
      </c>
      <c r="AG4" s="7" t="s">
        <v>5</v>
      </c>
      <c r="AH4" s="7" t="s">
        <v>68</v>
      </c>
      <c r="AI4" s="7" t="s">
        <v>11</v>
      </c>
      <c r="AJ4" s="4" t="s">
        <v>13</v>
      </c>
      <c r="AK4" s="1" t="s">
        <v>21</v>
      </c>
      <c r="AL4" s="1" t="s">
        <v>22</v>
      </c>
      <c r="AM4" s="1" t="s">
        <v>23</v>
      </c>
      <c r="AN4" s="1" t="s">
        <v>43</v>
      </c>
      <c r="AO4" s="1" t="s">
        <v>44</v>
      </c>
      <c r="AP4" s="1" t="s">
        <v>45</v>
      </c>
    </row>
    <row r="5" spans="1:42" x14ac:dyDescent="0.2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J5" s="5"/>
    </row>
    <row r="6" spans="1:42" x14ac:dyDescent="0.2">
      <c r="A6" t="s">
        <v>1</v>
      </c>
      <c r="D6">
        <v>1560</v>
      </c>
      <c r="G6">
        <v>2480</v>
      </c>
      <c r="H6">
        <v>420</v>
      </c>
      <c r="I6">
        <v>2430</v>
      </c>
      <c r="J6">
        <v>1710</v>
      </c>
      <c r="K6">
        <v>1140</v>
      </c>
      <c r="N6">
        <v>2160</v>
      </c>
      <c r="O6">
        <v>1500</v>
      </c>
      <c r="P6">
        <v>870</v>
      </c>
      <c r="Q6">
        <v>2070</v>
      </c>
      <c r="R6">
        <v>3721</v>
      </c>
      <c r="S6">
        <v>3330</v>
      </c>
      <c r="W6">
        <v>13860</v>
      </c>
      <c r="Y6">
        <v>650</v>
      </c>
      <c r="AB6">
        <v>5400</v>
      </c>
      <c r="AC6">
        <v>5790</v>
      </c>
      <c r="AD6">
        <v>390</v>
      </c>
      <c r="AE6">
        <v>5100</v>
      </c>
      <c r="AG6">
        <v>1530</v>
      </c>
      <c r="AI6">
        <v>1020</v>
      </c>
      <c r="AJ6" s="5">
        <f>SUM(D6:AI6)</f>
        <v>57131</v>
      </c>
      <c r="AK6">
        <f>+AB6+R6+W6+AC6+AE6+AF6</f>
        <v>33871</v>
      </c>
      <c r="AL6">
        <f>+E6+G6+I6+J6+K6+N6+O6+Q6+S6+X6</f>
        <v>16820</v>
      </c>
      <c r="AM6">
        <f>+D6+H6+P6+Y6+AD6+AI6+AG6+C6+L6+M6+V6+U6+Z6+AA6</f>
        <v>6440</v>
      </c>
      <c r="AN6">
        <f>+G6+I6+N6+Q6+V6+X6+AI6</f>
        <v>10160</v>
      </c>
      <c r="AO6">
        <f>+B6+D6+E6+J6+K6+L6+M6+O6+P6+R6+S6+W6+Y6+AB6+AC6+AD6+AE6+AF6+AG6</f>
        <v>46551</v>
      </c>
      <c r="AP6">
        <f>+AA6+Z6+U6+H6+C6</f>
        <v>420</v>
      </c>
    </row>
    <row r="7" spans="1:42" x14ac:dyDescent="0.2">
      <c r="A7" t="s">
        <v>2</v>
      </c>
      <c r="D7">
        <v>780</v>
      </c>
      <c r="G7">
        <v>2162</v>
      </c>
      <c r="H7">
        <v>306</v>
      </c>
      <c r="I7">
        <v>1941</v>
      </c>
      <c r="J7">
        <v>1538</v>
      </c>
      <c r="K7">
        <v>1003</v>
      </c>
      <c r="N7">
        <v>978</v>
      </c>
      <c r="O7">
        <f>+O6*0.57</f>
        <v>854.99999999999989</v>
      </c>
      <c r="P7">
        <v>600</v>
      </c>
      <c r="Q7">
        <v>1762</v>
      </c>
      <c r="R7">
        <v>1208</v>
      </c>
      <c r="S7">
        <v>2598</v>
      </c>
      <c r="W7">
        <v>7787</v>
      </c>
      <c r="Y7">
        <v>204</v>
      </c>
      <c r="AB7">
        <v>3888</v>
      </c>
      <c r="AC7">
        <v>5345</v>
      </c>
      <c r="AD7">
        <v>311</v>
      </c>
      <c r="AE7">
        <v>4387</v>
      </c>
      <c r="AG7">
        <v>1527</v>
      </c>
      <c r="AI7">
        <v>481</v>
      </c>
      <c r="AJ7" s="5">
        <f>SUM(D7:AI7)</f>
        <v>39661</v>
      </c>
      <c r="AK7">
        <f>+AB7+R7+W7+AC7+AE7+AF7</f>
        <v>22615</v>
      </c>
      <c r="AL7">
        <f>+E7+G7+I7+J7+K7+N7+O7+Q7+S7+X7</f>
        <v>12837</v>
      </c>
      <c r="AM7">
        <f>+D7+H7+P7+Y7+AD7+AI7+AG7+C7+L7+M7+V7+U7+Z7+AA7</f>
        <v>4209</v>
      </c>
      <c r="AN7">
        <f>+G7+I7+N7+Q7+V7+X7+AI7</f>
        <v>7324</v>
      </c>
      <c r="AO7">
        <f>+B7+D7+E7+J7+K7+L7+M7+O7+P7+R7+S7+W7+Y7+AB7+AC7+AD7+AE7+AF7+AG7</f>
        <v>32031</v>
      </c>
      <c r="AP7">
        <f>+AA7+Z7+U7+H7+C7</f>
        <v>306</v>
      </c>
    </row>
    <row r="8" spans="1:42" x14ac:dyDescent="0.2">
      <c r="A8" t="s">
        <v>4</v>
      </c>
      <c r="C8" s="3"/>
      <c r="D8" s="3">
        <f t="shared" ref="D8:S8" si="0">+D7/D6</f>
        <v>0.5</v>
      </c>
      <c r="E8" s="3"/>
      <c r="F8" s="3"/>
      <c r="G8" s="3">
        <f t="shared" si="0"/>
        <v>0.87177419354838714</v>
      </c>
      <c r="H8" s="3">
        <f t="shared" si="0"/>
        <v>0.72857142857142854</v>
      </c>
      <c r="I8" s="3">
        <f t="shared" si="0"/>
        <v>0.79876543209876538</v>
      </c>
      <c r="J8" s="3">
        <f t="shared" si="0"/>
        <v>0.89941520467836256</v>
      </c>
      <c r="K8" s="3">
        <f t="shared" si="0"/>
        <v>0.87982456140350873</v>
      </c>
      <c r="L8" s="3"/>
      <c r="M8" s="3"/>
      <c r="N8" s="3">
        <f t="shared" si="0"/>
        <v>0.45277777777777778</v>
      </c>
      <c r="O8" s="3">
        <f t="shared" si="0"/>
        <v>0.56999999999999995</v>
      </c>
      <c r="P8" s="3">
        <f t="shared" si="0"/>
        <v>0.68965517241379315</v>
      </c>
      <c r="Q8" s="3">
        <f t="shared" si="0"/>
        <v>0.85120772946859902</v>
      </c>
      <c r="R8" s="3">
        <f t="shared" si="0"/>
        <v>0.32464391292663264</v>
      </c>
      <c r="S8" s="3">
        <f t="shared" si="0"/>
        <v>0.7801801801801802</v>
      </c>
      <c r="T8" s="3"/>
      <c r="U8" s="3"/>
      <c r="V8" s="3"/>
      <c r="W8" s="3">
        <f>+W7/W6</f>
        <v>0.56183261183261179</v>
      </c>
      <c r="X8" s="3"/>
      <c r="Y8" s="3">
        <f>+Y7/Y6</f>
        <v>0.31384615384615383</v>
      </c>
      <c r="Z8" s="3"/>
      <c r="AA8" s="3"/>
      <c r="AB8" s="3">
        <f>+AB7/AB6</f>
        <v>0.72</v>
      </c>
      <c r="AC8" s="3">
        <f>+AC7/AC6</f>
        <v>0.92314335060449049</v>
      </c>
      <c r="AD8" s="3">
        <f>+AD7/AD6</f>
        <v>0.79743589743589749</v>
      </c>
      <c r="AE8" s="3">
        <f>+AE7/AE6</f>
        <v>0.86019607843137258</v>
      </c>
      <c r="AF8" s="3"/>
      <c r="AG8" s="3">
        <f t="shared" ref="AG8:AP8" si="1">+AG7/AG6</f>
        <v>0.99803921568627452</v>
      </c>
      <c r="AH8" s="3"/>
      <c r="AI8" s="3">
        <f t="shared" si="1"/>
        <v>0.47156862745098038</v>
      </c>
      <c r="AJ8" s="6">
        <f t="shared" si="1"/>
        <v>0.69421154889639602</v>
      </c>
      <c r="AK8" s="3">
        <f t="shared" si="1"/>
        <v>0.66768031649493664</v>
      </c>
      <c r="AL8" s="3">
        <f t="shared" si="1"/>
        <v>0.7631985731272295</v>
      </c>
      <c r="AM8" s="3">
        <f t="shared" si="1"/>
        <v>0.65357142857142858</v>
      </c>
      <c r="AN8" s="3">
        <f t="shared" si="1"/>
        <v>0.72086614173228347</v>
      </c>
      <c r="AO8" s="3">
        <f t="shared" si="1"/>
        <v>0.68808403686279562</v>
      </c>
      <c r="AP8" s="3">
        <f t="shared" si="1"/>
        <v>0.72857142857142854</v>
      </c>
    </row>
    <row r="9" spans="1:42" x14ac:dyDescent="0.2">
      <c r="A9" s="20"/>
      <c r="B9" s="20"/>
      <c r="C9" s="20"/>
      <c r="D9" s="20">
        <v>1</v>
      </c>
      <c r="E9" s="20"/>
      <c r="F9" s="20"/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/>
      <c r="M9" s="20"/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/>
      <c r="U9" s="20"/>
      <c r="V9" s="20"/>
      <c r="W9" s="20">
        <v>1</v>
      </c>
      <c r="X9" s="20"/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/>
      <c r="AG9" s="20">
        <v>1</v>
      </c>
      <c r="AH9" s="20"/>
      <c r="AI9" s="20">
        <v>1</v>
      </c>
      <c r="AJ9" s="19">
        <f>SUM(D9:AI9)</f>
        <v>20</v>
      </c>
      <c r="AK9" s="20">
        <f>+AB9+R9+W9+AC9+AE9+AF9+T9</f>
        <v>5</v>
      </c>
      <c r="AL9" s="20">
        <f>+E9+G9+I9+J9+K9+N9+O9+Q9+S9+X9</f>
        <v>8</v>
      </c>
      <c r="AM9" s="20">
        <f>+D9+H9+P9+Y9+AD9+AI9+AG9+C9+L9+M9+V9+U9+Z9+AA9</f>
        <v>7</v>
      </c>
      <c r="AN9" s="20">
        <f>+G9+I9+N9+Q9+V9+X9+AI9</f>
        <v>5</v>
      </c>
      <c r="AO9" s="20">
        <f>+B9+D9+E9+J9+K9+L9+M9+O9+P9+R9+S9+W9+Y9+AB9+AC9+AD9+AE9+AF9+AG9+T9</f>
        <v>14</v>
      </c>
      <c r="AP9" s="20">
        <f>+AA9+Z9+U9+H9+C9</f>
        <v>1</v>
      </c>
    </row>
    <row r="10" spans="1:42" x14ac:dyDescent="0.2">
      <c r="AJ10" s="5"/>
    </row>
    <row r="11" spans="1:42" x14ac:dyDescent="0.2">
      <c r="A11" s="2" t="s">
        <v>42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J11" s="5"/>
    </row>
    <row r="12" spans="1:42" x14ac:dyDescent="0.2">
      <c r="A12" t="s">
        <v>1</v>
      </c>
      <c r="D12">
        <v>1612</v>
      </c>
      <c r="G12">
        <v>2542</v>
      </c>
      <c r="H12">
        <v>558</v>
      </c>
      <c r="I12">
        <v>2511</v>
      </c>
      <c r="J12">
        <v>1767</v>
      </c>
      <c r="K12">
        <v>1178</v>
      </c>
      <c r="N12">
        <v>2232</v>
      </c>
      <c r="O12">
        <v>1519</v>
      </c>
      <c r="P12">
        <v>899</v>
      </c>
      <c r="Q12">
        <v>2139</v>
      </c>
      <c r="R12">
        <v>4030</v>
      </c>
      <c r="S12">
        <v>3441</v>
      </c>
      <c r="W12">
        <v>14322</v>
      </c>
      <c r="Y12">
        <v>775</v>
      </c>
      <c r="AB12">
        <v>5456</v>
      </c>
      <c r="AC12">
        <v>5983</v>
      </c>
      <c r="AD12">
        <v>403</v>
      </c>
      <c r="AE12">
        <v>5270</v>
      </c>
      <c r="AF12">
        <f>124*31</f>
        <v>3844</v>
      </c>
      <c r="AG12">
        <v>1581</v>
      </c>
      <c r="AI12">
        <v>1054</v>
      </c>
      <c r="AJ12" s="5">
        <f>SUM(D12:AI12)</f>
        <v>63116</v>
      </c>
      <c r="AK12">
        <f>+AB12+R12+W12+AC12+AE12+AF12</f>
        <v>38905</v>
      </c>
      <c r="AL12">
        <f>+E12+G12+I12+J12+K12+N12+O12+Q12+S12+X12</f>
        <v>17329</v>
      </c>
      <c r="AM12">
        <f>+D12+H12+P12+Y12+AD12+AI12+AG12+C12+L12+M12+V12+U12+Z12+AA12</f>
        <v>6882</v>
      </c>
      <c r="AN12">
        <f>+G12+I12+N12+Q12+V12+X12+AI12</f>
        <v>10478</v>
      </c>
      <c r="AO12">
        <f>+B12+D12+E12+J12+K12+L12+M12+O12+P12+R12+S12+W12+Y12+AB12+AC12+AD12+AE12+AF12+AG12</f>
        <v>52080</v>
      </c>
      <c r="AP12">
        <f>+AA12+Z12+U12+H12+C12</f>
        <v>558</v>
      </c>
    </row>
    <row r="13" spans="1:42" x14ac:dyDescent="0.2">
      <c r="A13" t="s">
        <v>2</v>
      </c>
      <c r="D13">
        <v>679</v>
      </c>
      <c r="G13">
        <v>2108</v>
      </c>
      <c r="H13">
        <v>445</v>
      </c>
      <c r="I13">
        <v>2169</v>
      </c>
      <c r="J13">
        <v>1534</v>
      </c>
      <c r="K13">
        <v>920</v>
      </c>
      <c r="N13">
        <v>1420</v>
      </c>
      <c r="O13">
        <v>775</v>
      </c>
      <c r="P13">
        <v>530</v>
      </c>
      <c r="Q13">
        <v>1822</v>
      </c>
      <c r="R13">
        <v>1620</v>
      </c>
      <c r="S13">
        <v>2305</v>
      </c>
      <c r="W13">
        <v>8481</v>
      </c>
      <c r="Y13">
        <v>160</v>
      </c>
      <c r="AB13">
        <v>3402</v>
      </c>
      <c r="AC13">
        <v>4753</v>
      </c>
      <c r="AD13">
        <v>233</v>
      </c>
      <c r="AE13">
        <v>4299</v>
      </c>
      <c r="AF13">
        <v>3275</v>
      </c>
      <c r="AG13">
        <v>1525</v>
      </c>
      <c r="AI13">
        <v>755</v>
      </c>
      <c r="AJ13" s="5">
        <f>SUM(D13:AI13)</f>
        <v>43210</v>
      </c>
      <c r="AK13">
        <f>+AB13+R13+W13+AC13+AE13+AF13</f>
        <v>25830</v>
      </c>
      <c r="AL13">
        <f>+E13+G13+I13+J13+K13+N13+O13+Q13+S13+X13</f>
        <v>13053</v>
      </c>
      <c r="AM13">
        <f>+D13+H13+P13+Y13+AD13+AI13+AG13+C13+L13+M13+V13+U13+Z13+AA13</f>
        <v>4327</v>
      </c>
      <c r="AN13">
        <f>+G13+I13+N13+Q13+V13+X13+AI13</f>
        <v>8274</v>
      </c>
      <c r="AO13">
        <f>+B13+D13+E13+J13+K13+L13+M13+O13+P13+R13+S13+W13+Y13+AB13+AC13+AD13+AE13+AF13+AG13</f>
        <v>34491</v>
      </c>
      <c r="AP13">
        <f>+AA13+Z13+U13+H13+C13</f>
        <v>445</v>
      </c>
    </row>
    <row r="14" spans="1:42" x14ac:dyDescent="0.2">
      <c r="A14" t="s">
        <v>4</v>
      </c>
      <c r="C14" s="3"/>
      <c r="D14" s="3">
        <f>+D13/D12</f>
        <v>0.42121588089330025</v>
      </c>
      <c r="E14" s="3"/>
      <c r="F14" s="3"/>
      <c r="G14" s="3">
        <f>+G13/G12</f>
        <v>0.82926829268292679</v>
      </c>
      <c r="H14" s="3">
        <f>+H13/H12</f>
        <v>0.79749103942652333</v>
      </c>
      <c r="I14" s="3">
        <f>+I13/I12</f>
        <v>0.86379928315412191</v>
      </c>
      <c r="J14" s="3">
        <f>+J13/J12</f>
        <v>0.86813808715336727</v>
      </c>
      <c r="K14" s="3">
        <f>+K13/K12</f>
        <v>0.78098471986417661</v>
      </c>
      <c r="L14" s="3"/>
      <c r="M14" s="3"/>
      <c r="N14" s="3">
        <f t="shared" ref="N14:S14" si="2">+N13/N12</f>
        <v>0.63620071684587809</v>
      </c>
      <c r="O14" s="3">
        <f t="shared" si="2"/>
        <v>0.51020408163265307</v>
      </c>
      <c r="P14" s="3">
        <f t="shared" si="2"/>
        <v>0.58954393770856506</v>
      </c>
      <c r="Q14" s="3">
        <f t="shared" si="2"/>
        <v>0.85179990649836368</v>
      </c>
      <c r="R14" s="3">
        <f t="shared" si="2"/>
        <v>0.40198511166253104</v>
      </c>
      <c r="S14" s="3">
        <f t="shared" si="2"/>
        <v>0.66986341179889564</v>
      </c>
      <c r="T14" s="3"/>
      <c r="U14" s="3"/>
      <c r="V14" s="3"/>
      <c r="W14" s="3">
        <f>+W13/W12</f>
        <v>0.59216589861751157</v>
      </c>
      <c r="X14" s="3"/>
      <c r="Y14" s="3">
        <f>+Y13/Y12</f>
        <v>0.20645161290322581</v>
      </c>
      <c r="Z14" s="3"/>
      <c r="AA14" s="3"/>
      <c r="AB14" s="3">
        <f>+AB13/AB12</f>
        <v>0.62353372434017595</v>
      </c>
      <c r="AC14" s="3">
        <f>+AC13/AC12</f>
        <v>0.79441751629617252</v>
      </c>
      <c r="AD14" s="3">
        <f>+AD13/AD12</f>
        <v>0.57816377171215882</v>
      </c>
      <c r="AE14" s="3">
        <f>+AE13/AE12</f>
        <v>0.81574952561669833</v>
      </c>
      <c r="AF14" s="3">
        <f>+AF13/AF12</f>
        <v>0.85197710718002084</v>
      </c>
      <c r="AG14" s="3">
        <f t="shared" ref="AG14:AP14" si="3">+AG13/AG12</f>
        <v>0.96457938013915245</v>
      </c>
      <c r="AH14" s="3"/>
      <c r="AI14" s="3">
        <f t="shared" si="3"/>
        <v>0.71631878557874762</v>
      </c>
      <c r="AJ14" s="6">
        <f t="shared" si="3"/>
        <v>0.68461245959820016</v>
      </c>
      <c r="AK14" s="3">
        <f t="shared" si="3"/>
        <v>0.6639249453797712</v>
      </c>
      <c r="AL14" s="3">
        <f t="shared" si="3"/>
        <v>0.75324600380864448</v>
      </c>
      <c r="AM14" s="3">
        <f t="shared" si="3"/>
        <v>0.62874164487067707</v>
      </c>
      <c r="AN14" s="3">
        <f t="shared" si="3"/>
        <v>0.789654514220271</v>
      </c>
      <c r="AO14" s="3">
        <f t="shared" si="3"/>
        <v>0.66226958525345625</v>
      </c>
      <c r="AP14" s="3">
        <f t="shared" si="3"/>
        <v>0.79749103942652333</v>
      </c>
    </row>
    <row r="15" spans="1:42" x14ac:dyDescent="0.2">
      <c r="AJ15" s="5"/>
    </row>
    <row r="16" spans="1:42" x14ac:dyDescent="0.2">
      <c r="A16" s="2" t="s">
        <v>46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"/>
      <c r="Z16" s="1"/>
      <c r="AA16" s="1"/>
      <c r="AB16" s="1"/>
      <c r="AC16" s="1"/>
      <c r="AD16" s="1"/>
      <c r="AE16" s="1"/>
      <c r="AF16" s="1"/>
      <c r="AJ16" s="5"/>
    </row>
    <row r="17" spans="1:42" x14ac:dyDescent="0.2">
      <c r="A17" t="s">
        <v>1</v>
      </c>
      <c r="D17">
        <v>1612</v>
      </c>
      <c r="G17">
        <v>2542</v>
      </c>
      <c r="H17">
        <v>434</v>
      </c>
      <c r="I17">
        <v>2511</v>
      </c>
      <c r="J17">
        <v>1767</v>
      </c>
      <c r="K17">
        <v>1178</v>
      </c>
      <c r="N17">
        <v>2232</v>
      </c>
      <c r="O17">
        <v>1519</v>
      </c>
      <c r="P17">
        <v>899</v>
      </c>
      <c r="Q17">
        <v>2139</v>
      </c>
      <c r="S17">
        <v>3441</v>
      </c>
      <c r="V17">
        <f>15*31</f>
        <v>465</v>
      </c>
      <c r="W17">
        <v>14322</v>
      </c>
      <c r="X17">
        <v>1240</v>
      </c>
      <c r="Y17">
        <v>775</v>
      </c>
      <c r="AB17">
        <v>5456</v>
      </c>
      <c r="AC17">
        <v>5983</v>
      </c>
      <c r="AD17">
        <f>13*31</f>
        <v>403</v>
      </c>
      <c r="AE17">
        <v>5270</v>
      </c>
      <c r="AF17">
        <v>3844</v>
      </c>
      <c r="AG17">
        <v>1581</v>
      </c>
      <c r="AI17">
        <v>1054</v>
      </c>
      <c r="AJ17" s="5">
        <f>SUM(D17:AI17)</f>
        <v>60667</v>
      </c>
      <c r="AK17">
        <f>+AB17+R17+W17+AC17+AE17+AF17</f>
        <v>34875</v>
      </c>
      <c r="AL17">
        <f>+E17+G17+I17+J17+K17+N17+O17+Q17+S17+X17</f>
        <v>18569</v>
      </c>
      <c r="AM17">
        <f>+D17+H17+P17+Y17+AD17+AI17+AG17+C17+L17+M17+V17+U17+Z17+AA17</f>
        <v>7223</v>
      </c>
      <c r="AN17">
        <f>+G17+I17+N17+Q17+V17+X17+AI17</f>
        <v>12183</v>
      </c>
      <c r="AO17">
        <f>+B17+D17+E17+J17+K17+L17+M17+O17+P17+R17+S17+W17+Y17+AB17+AC17+AD17+AE17+AF17+AG17</f>
        <v>48050</v>
      </c>
      <c r="AP17">
        <f>+AA17+Z17+U17+H17+C17</f>
        <v>434</v>
      </c>
    </row>
    <row r="18" spans="1:42" x14ac:dyDescent="0.2">
      <c r="A18" t="s">
        <v>2</v>
      </c>
      <c r="D18">
        <v>1055</v>
      </c>
      <c r="G18">
        <v>2310</v>
      </c>
      <c r="H18">
        <v>368</v>
      </c>
      <c r="I18">
        <v>2168</v>
      </c>
      <c r="J18">
        <v>1678</v>
      </c>
      <c r="K18">
        <v>1060</v>
      </c>
      <c r="N18">
        <v>1629</v>
      </c>
      <c r="O18">
        <f>+O17*0.75</f>
        <v>1139.25</v>
      </c>
      <c r="P18">
        <v>575</v>
      </c>
      <c r="Q18">
        <v>1994</v>
      </c>
      <c r="S18">
        <f>+S17*0.69</f>
        <v>2374.29</v>
      </c>
      <c r="V18">
        <v>205</v>
      </c>
      <c r="W18">
        <v>9192</v>
      </c>
      <c r="X18">
        <v>1065</v>
      </c>
      <c r="Y18">
        <v>139</v>
      </c>
      <c r="AB18">
        <v>4191</v>
      </c>
      <c r="AC18">
        <v>5248</v>
      </c>
      <c r="AD18">
        <v>325</v>
      </c>
      <c r="AE18">
        <v>4787</v>
      </c>
      <c r="AF18">
        <f>+AF17*0.84</f>
        <v>3228.96</v>
      </c>
      <c r="AG18">
        <v>1560</v>
      </c>
      <c r="AI18">
        <f>+AI17*0.7799</f>
        <v>822.01460000000009</v>
      </c>
      <c r="AJ18" s="5">
        <f>SUM(D18:AI18)</f>
        <v>47113.514600000002</v>
      </c>
      <c r="AK18">
        <f>+AB18+R18+W18+AC18+AE18+AF18</f>
        <v>26646.959999999999</v>
      </c>
      <c r="AL18">
        <f>+E18+G18+I18+J18+K18+N18+O18+Q18+S18+X18</f>
        <v>15417.54</v>
      </c>
      <c r="AM18">
        <f>+D18+H18+P18+Y18+AD18+AI18+AG18+C18+L18+M18+V18+U18+Z18+AA18</f>
        <v>5049.0146000000004</v>
      </c>
      <c r="AN18">
        <f>+G18+I18+N18+Q18+V18+X18+AI18</f>
        <v>10193.0146</v>
      </c>
      <c r="AO18">
        <f>+B18+D18+E18+J18+K18+L18+M18+O18+P18+R18+S18+W18+Y18+AB18+AC18+AD18+AE18+AF18+AG18</f>
        <v>36552.5</v>
      </c>
      <c r="AP18">
        <f>+AA18+Z18+U18+H18+C18</f>
        <v>368</v>
      </c>
    </row>
    <row r="19" spans="1:42" x14ac:dyDescent="0.2">
      <c r="A19" t="s">
        <v>4</v>
      </c>
      <c r="C19" s="3"/>
      <c r="D19" s="3">
        <f>+D18/D17</f>
        <v>0.65446650124069483</v>
      </c>
      <c r="E19" s="3"/>
      <c r="F19" s="3"/>
      <c r="G19" s="3">
        <f>+G18/G17</f>
        <v>0.90873328088119587</v>
      </c>
      <c r="H19" s="3">
        <f>+H18/H17</f>
        <v>0.84792626728110598</v>
      </c>
      <c r="I19" s="3">
        <f>+I18/I17</f>
        <v>0.86340103544404623</v>
      </c>
      <c r="J19" s="3">
        <f>+J18/J17</f>
        <v>0.94963214487832481</v>
      </c>
      <c r="K19" s="3">
        <f>+K18/K17</f>
        <v>0.89983022071307306</v>
      </c>
      <c r="L19" s="3"/>
      <c r="M19" s="3"/>
      <c r="N19" s="3">
        <f t="shared" ref="N19:S19" si="4">+N18/N17</f>
        <v>0.72983870967741937</v>
      </c>
      <c r="O19" s="3">
        <f t="shared" si="4"/>
        <v>0.75</v>
      </c>
      <c r="P19" s="3">
        <f t="shared" si="4"/>
        <v>0.63959955506117905</v>
      </c>
      <c r="Q19" s="3">
        <f t="shared" si="4"/>
        <v>0.93221131369798971</v>
      </c>
      <c r="R19" s="3"/>
      <c r="S19" s="3">
        <f t="shared" si="4"/>
        <v>0.69</v>
      </c>
      <c r="T19" s="3"/>
      <c r="U19" s="3"/>
      <c r="V19" s="3">
        <f>+V18/V17</f>
        <v>0.44086021505376344</v>
      </c>
      <c r="W19" s="3">
        <f>+W18/W17</f>
        <v>0.6418098031001257</v>
      </c>
      <c r="X19" s="3">
        <f>+X18/X17</f>
        <v>0.8588709677419355</v>
      </c>
      <c r="Y19" s="3">
        <f>+Y18/Y17</f>
        <v>0.17935483870967742</v>
      </c>
      <c r="Z19" s="3"/>
      <c r="AA19" s="3"/>
      <c r="AB19" s="3">
        <f t="shared" ref="AB19:AP19" si="5">+AB18/AB17</f>
        <v>0.76814516129032262</v>
      </c>
      <c r="AC19" s="3">
        <f t="shared" si="5"/>
        <v>0.877151930469664</v>
      </c>
      <c r="AD19" s="3">
        <f t="shared" si="5"/>
        <v>0.80645161290322576</v>
      </c>
      <c r="AE19" s="3">
        <f t="shared" si="5"/>
        <v>0.9083491461100569</v>
      </c>
      <c r="AF19" s="3">
        <f t="shared" si="5"/>
        <v>0.84</v>
      </c>
      <c r="AG19" s="3">
        <f t="shared" si="5"/>
        <v>0.98671726755218214</v>
      </c>
      <c r="AH19" s="3"/>
      <c r="AI19" s="3">
        <f t="shared" si="5"/>
        <v>0.77990000000000004</v>
      </c>
      <c r="AJ19" s="6">
        <f t="shared" si="5"/>
        <v>0.77659212751578288</v>
      </c>
      <c r="AK19" s="3">
        <f t="shared" si="5"/>
        <v>0.76407053763440858</v>
      </c>
      <c r="AL19" s="3">
        <f t="shared" si="5"/>
        <v>0.83028380634390653</v>
      </c>
      <c r="AM19" s="3">
        <f t="shared" si="5"/>
        <v>0.69901905025612632</v>
      </c>
      <c r="AN19" s="3">
        <f t="shared" si="5"/>
        <v>0.83665883608306657</v>
      </c>
      <c r="AO19" s="3">
        <f t="shared" si="5"/>
        <v>0.76071800208116547</v>
      </c>
      <c r="AP19" s="3">
        <f t="shared" si="5"/>
        <v>0.84792626728110598</v>
      </c>
    </row>
    <row r="20" spans="1:42" x14ac:dyDescent="0.2">
      <c r="A20" s="20"/>
      <c r="B20" s="20"/>
      <c r="C20" s="20"/>
      <c r="D20" s="20">
        <v>1</v>
      </c>
      <c r="E20" s="20"/>
      <c r="F20" s="20"/>
      <c r="G20" s="20">
        <v>1</v>
      </c>
      <c r="H20" s="20">
        <v>1</v>
      </c>
      <c r="I20" s="20">
        <v>1</v>
      </c>
      <c r="J20" s="20">
        <v>1</v>
      </c>
      <c r="K20" s="20">
        <v>1</v>
      </c>
      <c r="L20" s="20"/>
      <c r="M20" s="20"/>
      <c r="N20" s="20">
        <v>1</v>
      </c>
      <c r="O20" s="20">
        <v>1</v>
      </c>
      <c r="P20" s="20">
        <v>1</v>
      </c>
      <c r="Q20" s="20">
        <v>1</v>
      </c>
      <c r="R20" s="20"/>
      <c r="S20" s="20">
        <v>1</v>
      </c>
      <c r="T20" s="20"/>
      <c r="U20" s="20"/>
      <c r="V20" s="20">
        <v>1</v>
      </c>
      <c r="W20" s="20">
        <v>1</v>
      </c>
      <c r="X20" s="20">
        <v>1</v>
      </c>
      <c r="Y20" s="20">
        <v>1</v>
      </c>
      <c r="Z20" s="20"/>
      <c r="AA20" s="20"/>
      <c r="AB20" s="20">
        <v>1</v>
      </c>
      <c r="AC20" s="20">
        <v>1</v>
      </c>
      <c r="AD20" s="20">
        <v>1</v>
      </c>
      <c r="AE20" s="20">
        <v>1</v>
      </c>
      <c r="AF20" s="20">
        <v>1</v>
      </c>
      <c r="AG20" s="20">
        <v>1</v>
      </c>
      <c r="AH20" s="20"/>
      <c r="AI20" s="20">
        <v>1</v>
      </c>
      <c r="AJ20" s="19">
        <f>SUM(D20:AI20)</f>
        <v>22</v>
      </c>
      <c r="AK20" s="20">
        <f>+AB20+R20+W20+AC20+AE20+AF20+T20</f>
        <v>5</v>
      </c>
      <c r="AL20" s="20">
        <f>+E20+G20+I20+J20+K20+N20+O20+Q20+S20+X20</f>
        <v>9</v>
      </c>
      <c r="AM20" s="20">
        <f>+D20+H20+P20+Y20+AD20+AI20+AG20+C20+L20+M20+V20+U20+Z20+AA20</f>
        <v>8</v>
      </c>
      <c r="AN20" s="20">
        <f>+G20+I20+N20+Q20+V20+X20+AI20</f>
        <v>7</v>
      </c>
      <c r="AO20" s="20">
        <f>+B20+D20+E20+J20+K20+L20+M20+O20+P20+R20+S20+W20+Y20+AB20+AC20+AD20+AE20+AF20+AG20+T20</f>
        <v>14</v>
      </c>
      <c r="AP20" s="20">
        <f>+AA20+Z20+U20+H20+C20</f>
        <v>1</v>
      </c>
    </row>
    <row r="22" spans="1:42" x14ac:dyDescent="0.2">
      <c r="A22" s="2" t="s">
        <v>52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"/>
      <c r="Z22" s="1"/>
      <c r="AA22" s="1"/>
      <c r="AB22" s="1"/>
      <c r="AC22" s="1"/>
      <c r="AD22" s="1"/>
      <c r="AE22" s="1"/>
      <c r="AF22" s="1"/>
      <c r="AJ22" s="5"/>
    </row>
    <row r="23" spans="1:42" x14ac:dyDescent="0.2">
      <c r="A23" t="s">
        <v>1</v>
      </c>
      <c r="D23">
        <v>1456</v>
      </c>
      <c r="G23">
        <f>82*28</f>
        <v>2296</v>
      </c>
      <c r="H23">
        <v>392</v>
      </c>
      <c r="I23">
        <v>2464</v>
      </c>
      <c r="J23">
        <v>1596</v>
      </c>
      <c r="K23">
        <v>1064</v>
      </c>
      <c r="M23">
        <v>392</v>
      </c>
      <c r="N23">
        <v>2016</v>
      </c>
      <c r="O23">
        <v>1344</v>
      </c>
      <c r="P23">
        <v>812</v>
      </c>
      <c r="Q23">
        <f>2139/31*28</f>
        <v>1932</v>
      </c>
      <c r="S23">
        <v>3108</v>
      </c>
      <c r="U23">
        <f>45*28</f>
        <v>1260</v>
      </c>
      <c r="V23">
        <f>15*28</f>
        <v>420</v>
      </c>
      <c r="W23">
        <v>12936</v>
      </c>
      <c r="X23">
        <v>1120</v>
      </c>
      <c r="Y23">
        <v>700</v>
      </c>
      <c r="AB23">
        <f>5456/31*28</f>
        <v>4928</v>
      </c>
      <c r="AC23">
        <v>5404</v>
      </c>
      <c r="AD23">
        <v>364</v>
      </c>
      <c r="AE23">
        <v>4592</v>
      </c>
      <c r="AF23">
        <f>3844/31*28</f>
        <v>3472</v>
      </c>
      <c r="AG23">
        <f>1581/31*28</f>
        <v>1428</v>
      </c>
      <c r="AI23">
        <v>949</v>
      </c>
      <c r="AJ23" s="5">
        <f>SUM(D23:AI23)</f>
        <v>56445</v>
      </c>
      <c r="AK23">
        <f>+AB23+R23+W23+AC23+AE23+AF23</f>
        <v>31332</v>
      </c>
      <c r="AL23">
        <f>+E23+G23+I23+J23+K23+N23+O23+Q23+S23+X23</f>
        <v>16940</v>
      </c>
      <c r="AM23">
        <f>+D23+H23+P23+Y23+AD23+AI23+AG23+C23+L23+M23+V23+U23+Z23+AA23</f>
        <v>8173</v>
      </c>
      <c r="AN23">
        <f>+G23+I23+N23+Q23+V23+X23+AI23</f>
        <v>11197</v>
      </c>
      <c r="AO23">
        <f>+B23+D23+E23+J23+K23+L23+M23+O23+P23+R23+S23+W23+Y23+AB23+AC23+AD23+AE23+AF23+AG23</f>
        <v>43596</v>
      </c>
      <c r="AP23">
        <f>+AA23+Z23+U23+H23+C23</f>
        <v>1652</v>
      </c>
    </row>
    <row r="24" spans="1:42" x14ac:dyDescent="0.2">
      <c r="A24" t="s">
        <v>2</v>
      </c>
      <c r="D24">
        <v>898</v>
      </c>
      <c r="G24">
        <v>2171</v>
      </c>
      <c r="H24">
        <v>363</v>
      </c>
      <c r="I24">
        <v>2175</v>
      </c>
      <c r="J24">
        <v>1516</v>
      </c>
      <c r="K24">
        <v>883</v>
      </c>
      <c r="M24">
        <v>161</v>
      </c>
      <c r="N24">
        <v>1846</v>
      </c>
      <c r="O24">
        <f>+O23*0.8</f>
        <v>1075.2</v>
      </c>
      <c r="P24">
        <v>566</v>
      </c>
      <c r="Q24">
        <v>1775</v>
      </c>
      <c r="S24">
        <v>2645</v>
      </c>
      <c r="U24">
        <f>+U23*0.858</f>
        <v>1081.08</v>
      </c>
      <c r="V24">
        <f>+V23*0.65</f>
        <v>273</v>
      </c>
      <c r="W24">
        <v>10759</v>
      </c>
      <c r="X24">
        <v>993</v>
      </c>
      <c r="Y24">
        <v>308</v>
      </c>
      <c r="AB24">
        <f>+AB23*0.9228</f>
        <v>4547.5583999999999</v>
      </c>
      <c r="AC24">
        <v>4521</v>
      </c>
      <c r="AD24">
        <v>320</v>
      </c>
      <c r="AE24">
        <v>4385</v>
      </c>
      <c r="AF24">
        <f>+AF23*0.85</f>
        <v>2951.2</v>
      </c>
      <c r="AG24">
        <v>1414</v>
      </c>
      <c r="AI24">
        <v>802</v>
      </c>
      <c r="AJ24" s="5">
        <f>SUM(D24:AI24)</f>
        <v>48429.038399999998</v>
      </c>
      <c r="AK24">
        <f>+AB24+R24+W24+AC24+AE24+AF24</f>
        <v>27163.758400000002</v>
      </c>
      <c r="AL24">
        <f>+E24+G24+I24+J24+K24+N24+O24+Q24+S24+X24</f>
        <v>15079.2</v>
      </c>
      <c r="AM24">
        <f>+D24+H24+P24+Y24+AD24+AI24+AG24+C24+L24+M24+V24+U24+Z24+AA24</f>
        <v>6186.08</v>
      </c>
      <c r="AN24">
        <f>+G24+I24+N24+Q24+V24+X24+AI24</f>
        <v>10035</v>
      </c>
      <c r="AO24">
        <f>+B24+D24+E24+J24+K24+L24+M24+O24+P24+R24+S24+W24+Y24+AB24+AC24+AD24+AE24+AF24+AG24</f>
        <v>36949.958399999996</v>
      </c>
      <c r="AP24">
        <f>+AA24+Z24+U24+H24+C24</f>
        <v>1444.08</v>
      </c>
    </row>
    <row r="25" spans="1:42" x14ac:dyDescent="0.2">
      <c r="A25" t="s">
        <v>4</v>
      </c>
      <c r="C25" s="3"/>
      <c r="D25" s="3">
        <f>+D24/D23</f>
        <v>0.61675824175824179</v>
      </c>
      <c r="E25" s="3"/>
      <c r="F25" s="3"/>
      <c r="G25" s="3">
        <f>+G24/G23</f>
        <v>0.94555749128919864</v>
      </c>
      <c r="H25" s="3">
        <f>+H24/H23</f>
        <v>0.92602040816326525</v>
      </c>
      <c r="I25" s="3">
        <f>+I24/I23</f>
        <v>0.88271103896103897</v>
      </c>
      <c r="J25" s="3">
        <f>+J24/J23</f>
        <v>0.94987468671679198</v>
      </c>
      <c r="K25" s="3">
        <f>+K24/K23</f>
        <v>0.82988721804511278</v>
      </c>
      <c r="L25" s="3"/>
      <c r="M25" s="3">
        <f t="shared" ref="M25:U25" si="6">+M24/M23</f>
        <v>0.4107142857142857</v>
      </c>
      <c r="N25" s="3">
        <f t="shared" si="6"/>
        <v>0.91567460317460314</v>
      </c>
      <c r="O25" s="3">
        <f t="shared" si="6"/>
        <v>0.8</v>
      </c>
      <c r="P25" s="3">
        <f t="shared" si="6"/>
        <v>0.69704433497536944</v>
      </c>
      <c r="Q25" s="3">
        <f t="shared" si="6"/>
        <v>0.91873706004140787</v>
      </c>
      <c r="R25" s="3"/>
      <c r="S25" s="3">
        <f t="shared" si="6"/>
        <v>0.85102960102960101</v>
      </c>
      <c r="T25" s="3"/>
      <c r="U25" s="3">
        <f t="shared" si="6"/>
        <v>0.85799999999999998</v>
      </c>
      <c r="V25" s="3">
        <f>+V24/V23</f>
        <v>0.65</v>
      </c>
      <c r="W25" s="3">
        <f>+W24/W23</f>
        <v>0.83170995670995673</v>
      </c>
      <c r="X25" s="3">
        <f>+X24/X23</f>
        <v>0.88660714285714282</v>
      </c>
      <c r="Y25" s="3">
        <f>+Y24/Y23</f>
        <v>0.44</v>
      </c>
      <c r="Z25" s="3"/>
      <c r="AA25" s="3"/>
      <c r="AB25" s="3">
        <f t="shared" ref="AB25:AP25" si="7">+AB24/AB23</f>
        <v>0.92279999999999995</v>
      </c>
      <c r="AC25" s="3">
        <f t="shared" si="7"/>
        <v>0.83660251665433016</v>
      </c>
      <c r="AD25" s="3">
        <f t="shared" si="7"/>
        <v>0.87912087912087911</v>
      </c>
      <c r="AE25" s="3">
        <f t="shared" si="7"/>
        <v>0.95492160278745641</v>
      </c>
      <c r="AF25" s="3">
        <f t="shared" si="7"/>
        <v>0.85</v>
      </c>
      <c r="AG25" s="3">
        <f t="shared" si="7"/>
        <v>0.99019607843137258</v>
      </c>
      <c r="AH25" s="3"/>
      <c r="AI25" s="3">
        <f t="shared" si="7"/>
        <v>0.84510010537407798</v>
      </c>
      <c r="AJ25" s="6">
        <f t="shared" si="7"/>
        <v>0.85798633005580649</v>
      </c>
      <c r="AK25" s="3">
        <f t="shared" si="7"/>
        <v>0.86696535171709443</v>
      </c>
      <c r="AL25" s="3">
        <f t="shared" si="7"/>
        <v>0.89015348288075569</v>
      </c>
      <c r="AM25" s="3">
        <f t="shared" si="7"/>
        <v>0.75689220604429219</v>
      </c>
      <c r="AN25" s="3">
        <f t="shared" si="7"/>
        <v>0.89622220237563632</v>
      </c>
      <c r="AO25" s="3">
        <f t="shared" si="7"/>
        <v>0.84755386732727767</v>
      </c>
      <c r="AP25" s="3">
        <f t="shared" si="7"/>
        <v>0.87414043583535106</v>
      </c>
    </row>
    <row r="26" spans="1:42" x14ac:dyDescent="0.2">
      <c r="A26" s="20"/>
      <c r="B26" s="20"/>
      <c r="C26" s="20"/>
      <c r="D26" s="20">
        <v>1</v>
      </c>
      <c r="E26" s="20"/>
      <c r="F26" s="20"/>
      <c r="G26" s="20">
        <v>1</v>
      </c>
      <c r="H26" s="20">
        <v>1</v>
      </c>
      <c r="I26" s="20">
        <v>1</v>
      </c>
      <c r="J26" s="20">
        <v>1</v>
      </c>
      <c r="K26" s="20">
        <v>1</v>
      </c>
      <c r="L26" s="20"/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20"/>
      <c r="S26" s="20">
        <v>1</v>
      </c>
      <c r="T26" s="20"/>
      <c r="U26" s="20">
        <v>1</v>
      </c>
      <c r="V26" s="20">
        <v>1</v>
      </c>
      <c r="W26" s="20">
        <v>1</v>
      </c>
      <c r="X26" s="20">
        <v>1</v>
      </c>
      <c r="Y26" s="20">
        <v>1</v>
      </c>
      <c r="Z26" s="20"/>
      <c r="AA26" s="20"/>
      <c r="AB26" s="20">
        <v>1</v>
      </c>
      <c r="AC26" s="20">
        <v>1</v>
      </c>
      <c r="AD26" s="20">
        <v>1</v>
      </c>
      <c r="AE26" s="20">
        <v>1</v>
      </c>
      <c r="AF26" s="20">
        <v>1</v>
      </c>
      <c r="AG26" s="20">
        <v>1</v>
      </c>
      <c r="AH26" s="20"/>
      <c r="AI26" s="20">
        <v>1</v>
      </c>
      <c r="AJ26" s="19">
        <f>SUM(D26:AI26)</f>
        <v>24</v>
      </c>
      <c r="AK26" s="20">
        <f>+AB26+R26+W26+AC26+AE26+AF26+T26</f>
        <v>5</v>
      </c>
      <c r="AL26" s="20">
        <f>+E26+G26+I26+J26+K26+N26+O26+Q26+S26+X26</f>
        <v>9</v>
      </c>
      <c r="AM26" s="20">
        <f>+D26+H26+P26+Y26+AD26+AI26+AG26+C26+L26+M26+V26+U26+Z26+AA26</f>
        <v>10</v>
      </c>
      <c r="AN26" s="20">
        <f>+G26+I26+N26+Q26+V26+X26+AI26</f>
        <v>7</v>
      </c>
      <c r="AO26" s="20">
        <f>+B26+D26+E26+J26+K26+L26+M26+O26+P26+R26+S26+W26+Y26+AB26+AC26+AD26+AE26+AF26+AG26+T26</f>
        <v>15</v>
      </c>
      <c r="AP26" s="20">
        <f>+AA26+Z26+U26+H26+C26</f>
        <v>2</v>
      </c>
    </row>
    <row r="28" spans="1:42" x14ac:dyDescent="0.2">
      <c r="A28" s="2" t="s">
        <v>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"/>
      <c r="Z28" s="1"/>
      <c r="AA28" s="1"/>
      <c r="AB28" s="1"/>
      <c r="AC28" s="1"/>
      <c r="AD28" s="1"/>
      <c r="AE28" s="1"/>
      <c r="AF28" s="1"/>
      <c r="AJ28" s="5"/>
    </row>
    <row r="29" spans="1:42" x14ac:dyDescent="0.2">
      <c r="A29" t="s">
        <v>1</v>
      </c>
      <c r="G29">
        <v>2542</v>
      </c>
      <c r="H29">
        <v>434</v>
      </c>
      <c r="I29">
        <v>2542</v>
      </c>
      <c r="J29">
        <v>1767</v>
      </c>
      <c r="K29">
        <v>1178</v>
      </c>
      <c r="M29">
        <v>434</v>
      </c>
      <c r="N29">
        <v>2232</v>
      </c>
      <c r="O29">
        <v>1488</v>
      </c>
      <c r="P29">
        <v>1023</v>
      </c>
      <c r="Q29">
        <v>2139</v>
      </c>
      <c r="S29">
        <v>3441</v>
      </c>
      <c r="T29">
        <f>210*31</f>
        <v>6510</v>
      </c>
      <c r="U29">
        <f>46*31</f>
        <v>1426</v>
      </c>
      <c r="V29">
        <v>465</v>
      </c>
      <c r="W29">
        <v>14322</v>
      </c>
      <c r="X29">
        <v>1240</v>
      </c>
      <c r="Y29">
        <v>775</v>
      </c>
      <c r="AA29">
        <f>12*31</f>
        <v>372</v>
      </c>
      <c r="AB29">
        <v>5580</v>
      </c>
      <c r="AC29">
        <v>5983</v>
      </c>
      <c r="AD29">
        <v>403</v>
      </c>
      <c r="AE29">
        <v>5084</v>
      </c>
      <c r="AF29">
        <v>3844</v>
      </c>
      <c r="AG29">
        <v>1581</v>
      </c>
      <c r="AI29">
        <v>1054</v>
      </c>
      <c r="AJ29" s="5">
        <f>SUM(D29:AI29)</f>
        <v>67859</v>
      </c>
      <c r="AK29">
        <f>+AB29+R29+W29+AC29+AE29+AF29+T29</f>
        <v>41323</v>
      </c>
      <c r="AL29">
        <f>+E29+G29+I29+J29+K29+N29+O29+Q29+S29+X29</f>
        <v>18569</v>
      </c>
      <c r="AM29">
        <f>+D29+H29+P29+Y29+AD29+AI29+AG29+C29+L29+M29+V29+U29+Z29+AA29</f>
        <v>7967</v>
      </c>
      <c r="AN29">
        <f>+G29+I29+N29+Q29+V29+X29+AI29</f>
        <v>12214</v>
      </c>
      <c r="AO29">
        <f>+B29+D29+E29+J29+K29+L29+M29+O29+P29+R29+S29+W29+Y29+AB29+AC29+AD29+AE29+AF29+AG29+T29</f>
        <v>53413</v>
      </c>
      <c r="AP29">
        <f>+AA29+Z29+U29+H29+C29</f>
        <v>2232</v>
      </c>
    </row>
    <row r="30" spans="1:42" x14ac:dyDescent="0.2">
      <c r="A30" t="s">
        <v>2</v>
      </c>
      <c r="G30">
        <v>2248</v>
      </c>
      <c r="H30">
        <v>390</v>
      </c>
      <c r="I30">
        <v>2263</v>
      </c>
      <c r="J30">
        <f>+J29*0.91</f>
        <v>1607.97</v>
      </c>
      <c r="K30">
        <f>+K29*0.87</f>
        <v>1024.8599999999999</v>
      </c>
      <c r="M30">
        <v>146</v>
      </c>
      <c r="N30">
        <v>1924</v>
      </c>
      <c r="O30">
        <f>+O29*0.75</f>
        <v>1116</v>
      </c>
      <c r="P30">
        <v>868</v>
      </c>
      <c r="Q30">
        <v>1818</v>
      </c>
      <c r="S30">
        <f>+S29*0.614</f>
        <v>2112.7739999999999</v>
      </c>
      <c r="T30">
        <f>+T29*0.45</f>
        <v>2929.5</v>
      </c>
      <c r="U30">
        <v>970</v>
      </c>
      <c r="V30">
        <v>279</v>
      </c>
      <c r="W30">
        <v>10527</v>
      </c>
      <c r="X30">
        <v>992</v>
      </c>
      <c r="Y30">
        <v>138</v>
      </c>
      <c r="AA30">
        <v>342</v>
      </c>
      <c r="AB30">
        <v>3703</v>
      </c>
      <c r="AC30">
        <f>+AC29*0.8911</f>
        <v>5331.4512999999997</v>
      </c>
      <c r="AD30">
        <v>356</v>
      </c>
      <c r="AE30">
        <v>4077</v>
      </c>
      <c r="AF30">
        <f>+AF29*0.833</f>
        <v>3202.0519999999997</v>
      </c>
      <c r="AG30">
        <v>1511</v>
      </c>
      <c r="AI30">
        <v>770</v>
      </c>
      <c r="AJ30" s="5">
        <f>SUM(D30:AI30)</f>
        <v>50646.607300000003</v>
      </c>
      <c r="AK30">
        <f>+AB30+R30+W30+AC30+AE30+AF30+T30</f>
        <v>29770.0033</v>
      </c>
      <c r="AL30">
        <f>+E30+G30+I30+J30+K30+N30+O30+Q30+S30+X30</f>
        <v>15106.603999999999</v>
      </c>
      <c r="AM30">
        <f>+D30+H30+P30+Y30+AD30+AI30+AG30+C30+L30+M30+V30+U30+Z30+AA30</f>
        <v>5770</v>
      </c>
      <c r="AN30">
        <f>+G30+I30+N30+Q30+V30+X30+AI30</f>
        <v>10294</v>
      </c>
      <c r="AO30">
        <f>+B30+D30+E30+J30+K30+L30+M30+O30+P30+R30+S30+W30+Y30+AB30+AC30+AD30+AE30+AF30+AG30+T30</f>
        <v>38650.607300000003</v>
      </c>
      <c r="AP30">
        <f>+AA30+Z30+U30+H30+C30</f>
        <v>1702</v>
      </c>
    </row>
    <row r="31" spans="1:42" x14ac:dyDescent="0.2">
      <c r="A31" t="s">
        <v>4</v>
      </c>
      <c r="C31" s="3"/>
      <c r="D31" s="3" t="e">
        <f>+D30/D29</f>
        <v>#DIV/0!</v>
      </c>
      <c r="E31" s="3"/>
      <c r="F31" s="3"/>
      <c r="G31" s="3">
        <f>+G30/G29</f>
        <v>0.88434303697875694</v>
      </c>
      <c r="H31" s="3">
        <f>+H30/H29</f>
        <v>0.89861751152073732</v>
      </c>
      <c r="I31" s="3">
        <f>+I30/I29</f>
        <v>0.8902439024390244</v>
      </c>
      <c r="J31" s="3">
        <f>+J30/J29</f>
        <v>0.91</v>
      </c>
      <c r="K31" s="3">
        <f>+K30/K29</f>
        <v>0.86999999999999988</v>
      </c>
      <c r="L31" s="3"/>
      <c r="M31" s="3">
        <f t="shared" ref="M31:Y31" si="8">+M30/M29</f>
        <v>0.33640552995391704</v>
      </c>
      <c r="N31" s="3">
        <f t="shared" si="8"/>
        <v>0.86200716845878134</v>
      </c>
      <c r="O31" s="3">
        <f t="shared" si="8"/>
        <v>0.75</v>
      </c>
      <c r="P31" s="3">
        <f t="shared" si="8"/>
        <v>0.84848484848484851</v>
      </c>
      <c r="Q31" s="3">
        <f t="shared" si="8"/>
        <v>0.84992987377279106</v>
      </c>
      <c r="R31" s="3" t="e">
        <f t="shared" si="8"/>
        <v>#DIV/0!</v>
      </c>
      <c r="S31" s="3">
        <f t="shared" si="8"/>
        <v>0.61399999999999999</v>
      </c>
      <c r="T31" s="3">
        <f t="shared" si="8"/>
        <v>0.45</v>
      </c>
      <c r="U31" s="3">
        <f t="shared" si="8"/>
        <v>0.68022440392706873</v>
      </c>
      <c r="V31" s="3">
        <f t="shared" si="8"/>
        <v>0.6</v>
      </c>
      <c r="W31" s="3">
        <f t="shared" si="8"/>
        <v>0.73502304147465436</v>
      </c>
      <c r="X31" s="3">
        <f t="shared" si="8"/>
        <v>0.8</v>
      </c>
      <c r="Y31" s="3">
        <f t="shared" si="8"/>
        <v>0.17806451612903226</v>
      </c>
      <c r="Z31" s="3"/>
      <c r="AA31" s="3">
        <f t="shared" ref="AA31:AP31" si="9">+AA30/AA29</f>
        <v>0.91935483870967738</v>
      </c>
      <c r="AB31" s="3">
        <f t="shared" si="9"/>
        <v>0.66362007168458781</v>
      </c>
      <c r="AC31" s="3">
        <f t="shared" si="9"/>
        <v>0.8911</v>
      </c>
      <c r="AD31" s="3">
        <f t="shared" si="9"/>
        <v>0.88337468982630274</v>
      </c>
      <c r="AE31" s="3">
        <f t="shared" si="9"/>
        <v>0.80192761605035401</v>
      </c>
      <c r="AF31" s="3">
        <f t="shared" si="9"/>
        <v>0.83299999999999996</v>
      </c>
      <c r="AG31" s="3">
        <f t="shared" si="9"/>
        <v>0.95572422517394051</v>
      </c>
      <c r="AH31" s="3"/>
      <c r="AI31" s="3">
        <f t="shared" si="9"/>
        <v>0.73055028462998106</v>
      </c>
      <c r="AJ31" s="6">
        <f t="shared" si="9"/>
        <v>0.74635062850911449</v>
      </c>
      <c r="AK31" s="3">
        <f t="shared" si="9"/>
        <v>0.72042212085279389</v>
      </c>
      <c r="AL31" s="3">
        <f t="shared" si="9"/>
        <v>0.81353890893424519</v>
      </c>
      <c r="AM31" s="3">
        <f t="shared" si="9"/>
        <v>0.72423747960336382</v>
      </c>
      <c r="AN31" s="3">
        <f t="shared" si="9"/>
        <v>0.84280334042901583</v>
      </c>
      <c r="AO31" s="3">
        <f t="shared" si="9"/>
        <v>0.72361798251362031</v>
      </c>
      <c r="AP31" s="3">
        <f t="shared" si="9"/>
        <v>0.76254480286738346</v>
      </c>
    </row>
    <row r="32" spans="1:42" x14ac:dyDescent="0.2">
      <c r="A32" s="20"/>
      <c r="B32" s="20"/>
      <c r="C32" s="20"/>
      <c r="D32" s="20"/>
      <c r="E32" s="20"/>
      <c r="F32" s="20"/>
      <c r="G32" s="20">
        <v>1</v>
      </c>
      <c r="H32" s="20">
        <v>1</v>
      </c>
      <c r="I32" s="20">
        <v>1</v>
      </c>
      <c r="J32" s="20">
        <v>1</v>
      </c>
      <c r="K32" s="20">
        <v>1</v>
      </c>
      <c r="L32" s="20"/>
      <c r="M32" s="20">
        <v>1</v>
      </c>
      <c r="N32" s="20">
        <v>1</v>
      </c>
      <c r="O32" s="20">
        <v>1</v>
      </c>
      <c r="P32" s="20">
        <v>1</v>
      </c>
      <c r="Q32" s="20">
        <v>1</v>
      </c>
      <c r="R32" s="20"/>
      <c r="S32" s="20">
        <v>1</v>
      </c>
      <c r="T32" s="20">
        <v>1</v>
      </c>
      <c r="U32" s="20">
        <v>1</v>
      </c>
      <c r="V32" s="20">
        <v>1</v>
      </c>
      <c r="W32" s="20">
        <v>1</v>
      </c>
      <c r="X32" s="20">
        <v>1</v>
      </c>
      <c r="Y32" s="20">
        <v>1</v>
      </c>
      <c r="Z32" s="20"/>
      <c r="AA32" s="20">
        <v>1</v>
      </c>
      <c r="AB32" s="20">
        <v>1</v>
      </c>
      <c r="AC32" s="20">
        <v>1</v>
      </c>
      <c r="AD32" s="20">
        <v>1</v>
      </c>
      <c r="AE32" s="20">
        <v>1</v>
      </c>
      <c r="AF32" s="20">
        <v>1</v>
      </c>
      <c r="AG32" s="20">
        <v>1</v>
      </c>
      <c r="AH32" s="20"/>
      <c r="AI32" s="20">
        <v>1</v>
      </c>
      <c r="AJ32" s="19">
        <f>SUM(D32:AI32)</f>
        <v>25</v>
      </c>
      <c r="AK32" s="20">
        <f>+AB32+R32+W32+AC32+AE32+AF32+T32</f>
        <v>6</v>
      </c>
      <c r="AL32" s="20">
        <f>+E32+G32+I32+J32+K32+N32+O32+Q32+S32+X32</f>
        <v>9</v>
      </c>
      <c r="AM32" s="20">
        <f>+D32+H32+P32+Y32+AD32+AI32+AG32+C32+L32+M32+V32+U32+Z32+AA32</f>
        <v>10</v>
      </c>
      <c r="AN32" s="20">
        <f>+G32+I32+N32+Q32+V32+X32+AI32</f>
        <v>7</v>
      </c>
      <c r="AO32" s="20">
        <f>+B32+D32+E32+J32+K32+L32+M32+O32+P32+R32+S32+W32+Y32+AB32+AC32+AD32+AE32+AF32+AG32+T32</f>
        <v>15</v>
      </c>
      <c r="AP32" s="20">
        <f>+AA32+Z32+U32+H32+C32</f>
        <v>3</v>
      </c>
    </row>
    <row r="34" spans="1:42" x14ac:dyDescent="0.2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"/>
      <c r="Z34" s="1"/>
      <c r="AA34" s="1"/>
      <c r="AB34" s="1"/>
      <c r="AC34" s="1"/>
      <c r="AD34" s="1"/>
      <c r="AE34" s="1"/>
      <c r="AF34" s="1"/>
      <c r="AJ34" s="5"/>
    </row>
    <row r="35" spans="1:42" x14ac:dyDescent="0.2">
      <c r="A35" t="s">
        <v>1</v>
      </c>
      <c r="D35">
        <v>1560</v>
      </c>
      <c r="G35">
        <v>2480</v>
      </c>
      <c r="H35">
        <v>420</v>
      </c>
      <c r="I35">
        <v>2460</v>
      </c>
      <c r="J35">
        <v>1710</v>
      </c>
      <c r="K35">
        <v>1140</v>
      </c>
      <c r="M35">
        <v>420</v>
      </c>
      <c r="N35">
        <v>2160</v>
      </c>
      <c r="O35">
        <v>1440</v>
      </c>
      <c r="P35">
        <v>1020</v>
      </c>
      <c r="Q35">
        <v>2070</v>
      </c>
      <c r="S35">
        <v>3330</v>
      </c>
      <c r="T35">
        <f>210*30</f>
        <v>6300</v>
      </c>
      <c r="V35">
        <v>496</v>
      </c>
      <c r="W35">
        <v>13860</v>
      </c>
      <c r="X35">
        <v>1200</v>
      </c>
      <c r="Y35">
        <v>750</v>
      </c>
      <c r="AA35">
        <f>12*30</f>
        <v>360</v>
      </c>
      <c r="AB35">
        <v>5400</v>
      </c>
      <c r="AC35">
        <v>5790</v>
      </c>
      <c r="AD35">
        <v>390</v>
      </c>
      <c r="AE35">
        <v>5100</v>
      </c>
      <c r="AF35">
        <f>124*30</f>
        <v>3720</v>
      </c>
      <c r="AG35">
        <v>1530</v>
      </c>
      <c r="AI35">
        <v>1020</v>
      </c>
      <c r="AJ35" s="5">
        <f>SUM(D35:AI35)</f>
        <v>66126</v>
      </c>
      <c r="AK35">
        <f>+AB35+R35+W35+AC35+AE35+AF35+T35</f>
        <v>40170</v>
      </c>
      <c r="AL35">
        <f>+E35+G35+I35+J35+K35+N35+O35+Q35+S35+X35</f>
        <v>17990</v>
      </c>
      <c r="AM35">
        <f>+D35+H35+P35+Y35+AD35+AI35+AG35+C35+L35+M35+V35+U35+Z35+AA35</f>
        <v>7966</v>
      </c>
      <c r="AN35">
        <f>+G35+I35+N35+Q35+V35+X35+AI35</f>
        <v>11886</v>
      </c>
      <c r="AO35">
        <f>+B35+D35+E35+J35+K35+L35+M35+O35+P35+R35+S35+W35+Y35+AB35+AC35+AD35+AE35+AF35+AG35+T35</f>
        <v>53460</v>
      </c>
      <c r="AP35">
        <f>+AA35+Z35+U35+H35+C35</f>
        <v>780</v>
      </c>
    </row>
    <row r="36" spans="1:42" x14ac:dyDescent="0.2">
      <c r="A36" t="s">
        <v>2</v>
      </c>
      <c r="D36">
        <v>830</v>
      </c>
      <c r="G36">
        <v>2244</v>
      </c>
      <c r="H36">
        <v>356</v>
      </c>
      <c r="I36">
        <v>2189</v>
      </c>
      <c r="J36">
        <v>1522</v>
      </c>
      <c r="K36">
        <v>958</v>
      </c>
      <c r="M36">
        <v>167</v>
      </c>
      <c r="N36">
        <v>1594</v>
      </c>
      <c r="O36">
        <f>+O35*0.9</f>
        <v>1296</v>
      </c>
      <c r="P36">
        <v>960</v>
      </c>
      <c r="Q36">
        <v>1781</v>
      </c>
      <c r="S36">
        <f>+S35*0.41</f>
        <v>1365.3</v>
      </c>
      <c r="T36">
        <f>+T35*0.35</f>
        <v>2205</v>
      </c>
      <c r="V36">
        <v>255</v>
      </c>
      <c r="W36">
        <v>9232</v>
      </c>
      <c r="X36">
        <v>980</v>
      </c>
      <c r="Y36">
        <v>138</v>
      </c>
      <c r="AA36">
        <v>331</v>
      </c>
      <c r="AB36">
        <f>+AB35*0.6054</f>
        <v>3269.1600000000003</v>
      </c>
      <c r="AC36">
        <f>+AC35*0.888</f>
        <v>5141.5200000000004</v>
      </c>
      <c r="AD36">
        <v>291</v>
      </c>
      <c r="AE36">
        <f>+AE35*0.81</f>
        <v>4131</v>
      </c>
      <c r="AF36">
        <f>+AF35*0.724</f>
        <v>2693.2799999999997</v>
      </c>
      <c r="AG36">
        <v>1393</v>
      </c>
      <c r="AI36">
        <v>658</v>
      </c>
      <c r="AJ36" s="5">
        <f>SUM(D36:AI36)</f>
        <v>45980.259999999995</v>
      </c>
      <c r="AK36">
        <f>+AB36+R36+W36+AC36+AE36+AF36+T36</f>
        <v>26671.96</v>
      </c>
      <c r="AL36">
        <f>+E36+G36+I36+J36+K36+N36+O36+Q36+S36+X36</f>
        <v>13929.3</v>
      </c>
      <c r="AM36">
        <f>+D36+H36+P36+Y36+AD36+AI36+AG36+C36+L36+M36+V36+U36+Z36+AA36</f>
        <v>5379</v>
      </c>
      <c r="AN36">
        <f>+G36+I36+N36+Q36+V36+X36+AI36</f>
        <v>9701</v>
      </c>
      <c r="AO36">
        <f>+B36+D36+E36+J36+K36+L36+M36+O36+P36+R36+S36+W36+Y36+AB36+AC36+AD36+AE36+AF36+AG36+T36</f>
        <v>35592.259999999995</v>
      </c>
      <c r="AP36">
        <f>+AA36+Z36+U36+H36+C36</f>
        <v>687</v>
      </c>
    </row>
    <row r="37" spans="1:42" x14ac:dyDescent="0.2">
      <c r="A37" t="s">
        <v>4</v>
      </c>
      <c r="C37" s="3"/>
      <c r="D37" s="3">
        <f>+D36/D35</f>
        <v>0.53205128205128205</v>
      </c>
      <c r="E37" s="3"/>
      <c r="F37" s="3"/>
      <c r="G37" s="3">
        <f>+G36/G35</f>
        <v>0.90483870967741931</v>
      </c>
      <c r="H37" s="3">
        <f>+H36/H35</f>
        <v>0.84761904761904761</v>
      </c>
      <c r="I37" s="3">
        <f>+I36/I35</f>
        <v>0.88983739837398379</v>
      </c>
      <c r="J37" s="3">
        <f>+J36/J35</f>
        <v>0.89005847953216377</v>
      </c>
      <c r="K37" s="3">
        <f>+K36/K35</f>
        <v>0.8403508771929824</v>
      </c>
      <c r="L37" s="3"/>
      <c r="M37" s="3">
        <f t="shared" ref="M37:Y37" si="10">+M36/M35</f>
        <v>0.39761904761904759</v>
      </c>
      <c r="N37" s="3">
        <f t="shared" si="10"/>
        <v>0.73796296296296293</v>
      </c>
      <c r="O37" s="3">
        <f t="shared" si="10"/>
        <v>0.9</v>
      </c>
      <c r="P37" s="3">
        <f t="shared" si="10"/>
        <v>0.94117647058823528</v>
      </c>
      <c r="Q37" s="3">
        <f t="shared" si="10"/>
        <v>0.86038647342995167</v>
      </c>
      <c r="R37" s="3" t="e">
        <f t="shared" si="10"/>
        <v>#DIV/0!</v>
      </c>
      <c r="S37" s="3">
        <f t="shared" si="10"/>
        <v>0.41</v>
      </c>
      <c r="T37" s="3">
        <f t="shared" si="10"/>
        <v>0.35</v>
      </c>
      <c r="U37" s="3" t="e">
        <f t="shared" si="10"/>
        <v>#DIV/0!</v>
      </c>
      <c r="V37" s="3">
        <f t="shared" si="10"/>
        <v>0.51411290322580649</v>
      </c>
      <c r="W37" s="3">
        <f t="shared" si="10"/>
        <v>0.66608946608946606</v>
      </c>
      <c r="X37" s="3">
        <f t="shared" si="10"/>
        <v>0.81666666666666665</v>
      </c>
      <c r="Y37" s="3">
        <f t="shared" si="10"/>
        <v>0.184</v>
      </c>
      <c r="Z37" s="3"/>
      <c r="AA37" s="3">
        <f t="shared" ref="AA37:AP37" si="11">+AA36/AA35</f>
        <v>0.9194444444444444</v>
      </c>
      <c r="AB37" s="3">
        <f t="shared" si="11"/>
        <v>0.60540000000000005</v>
      </c>
      <c r="AC37" s="3">
        <f t="shared" si="11"/>
        <v>0.88800000000000012</v>
      </c>
      <c r="AD37" s="3">
        <f t="shared" si="11"/>
        <v>0.74615384615384617</v>
      </c>
      <c r="AE37" s="3">
        <f t="shared" si="11"/>
        <v>0.81</v>
      </c>
      <c r="AF37" s="3">
        <f t="shared" si="11"/>
        <v>0.72399999999999998</v>
      </c>
      <c r="AG37" s="3">
        <f t="shared" si="11"/>
        <v>0.91045751633986927</v>
      </c>
      <c r="AH37" s="3"/>
      <c r="AI37" s="3">
        <f t="shared" si="11"/>
        <v>0.64509803921568631</v>
      </c>
      <c r="AJ37" s="6">
        <f t="shared" si="11"/>
        <v>0.69534313280706517</v>
      </c>
      <c r="AK37" s="3">
        <f t="shared" si="11"/>
        <v>0.6639770973363206</v>
      </c>
      <c r="AL37" s="3">
        <f t="shared" si="11"/>
        <v>0.77428015564202335</v>
      </c>
      <c r="AM37" s="3">
        <f t="shared" si="11"/>
        <v>0.67524479035902585</v>
      </c>
      <c r="AN37" s="3">
        <f t="shared" si="11"/>
        <v>0.81617028436816419</v>
      </c>
      <c r="AO37" s="3">
        <f t="shared" si="11"/>
        <v>0.66577366255144022</v>
      </c>
      <c r="AP37" s="3">
        <f t="shared" si="11"/>
        <v>0.88076923076923075</v>
      </c>
    </row>
    <row r="38" spans="1:42" x14ac:dyDescent="0.2">
      <c r="A38" s="20"/>
      <c r="B38" s="20"/>
      <c r="C38" s="20"/>
      <c r="D38" s="20">
        <v>1</v>
      </c>
      <c r="E38" s="20"/>
      <c r="F38" s="20"/>
      <c r="G38" s="20">
        <v>1</v>
      </c>
      <c r="H38" s="20">
        <v>1</v>
      </c>
      <c r="I38" s="20">
        <v>1</v>
      </c>
      <c r="J38" s="20">
        <v>1</v>
      </c>
      <c r="K38" s="20">
        <v>1</v>
      </c>
      <c r="L38" s="20"/>
      <c r="M38" s="20">
        <v>1</v>
      </c>
      <c r="N38" s="20">
        <v>1</v>
      </c>
      <c r="O38" s="20">
        <v>1</v>
      </c>
      <c r="P38" s="20">
        <v>1</v>
      </c>
      <c r="Q38" s="20">
        <v>1</v>
      </c>
      <c r="R38" s="20"/>
      <c r="S38" s="20">
        <v>1</v>
      </c>
      <c r="T38" s="20">
        <v>1</v>
      </c>
      <c r="U38" s="20"/>
      <c r="V38" s="20">
        <v>1</v>
      </c>
      <c r="W38" s="20">
        <v>1</v>
      </c>
      <c r="X38" s="20">
        <v>1</v>
      </c>
      <c r="Y38" s="20">
        <v>1</v>
      </c>
      <c r="Z38" s="20"/>
      <c r="AA38" s="20">
        <v>1</v>
      </c>
      <c r="AB38" s="20">
        <v>1</v>
      </c>
      <c r="AC38" s="20">
        <v>1</v>
      </c>
      <c r="AD38" s="20">
        <v>1</v>
      </c>
      <c r="AE38" s="20">
        <v>1</v>
      </c>
      <c r="AF38" s="20">
        <v>1</v>
      </c>
      <c r="AG38" s="20">
        <v>1</v>
      </c>
      <c r="AH38" s="20"/>
      <c r="AI38" s="20">
        <v>1</v>
      </c>
      <c r="AJ38" s="19">
        <f>SUM(D38:AI38)</f>
        <v>25</v>
      </c>
      <c r="AK38" s="20">
        <f>+AB38+R38+W38+AC38+AE38+AF38+T38</f>
        <v>6</v>
      </c>
      <c r="AL38" s="20">
        <f>+E38+G38+I38+J38+K38+N38+O38+Q38+S38+X38</f>
        <v>9</v>
      </c>
      <c r="AM38" s="20">
        <f>+D38+H38+P38+Y38+AD38+AI38+AG38+C38+L38+M38+V38+U38+Z38+AA38</f>
        <v>10</v>
      </c>
      <c r="AN38" s="20">
        <f>+G38+I38+N38+Q38+V38+X38+AI38</f>
        <v>7</v>
      </c>
      <c r="AO38" s="20">
        <f>+B38+D38+E38+J38+K38+L38+M38+O38+P38+R38+S38+W38+Y38+AB38+AC38+AD38+AE38+AF38+AG38+T38</f>
        <v>16</v>
      </c>
      <c r="AP38" s="20">
        <f>+AA38+Z38+U38+H38+C38</f>
        <v>2</v>
      </c>
    </row>
    <row r="40" spans="1:42" x14ac:dyDescent="0.2">
      <c r="A40" s="2" t="s">
        <v>57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"/>
      <c r="Z40" s="1"/>
      <c r="AA40" s="1"/>
      <c r="AB40" s="1"/>
      <c r="AC40" s="1"/>
      <c r="AD40" s="1"/>
      <c r="AE40" s="1"/>
      <c r="AF40" s="1"/>
      <c r="AJ40" s="5"/>
    </row>
    <row r="41" spans="1:42" x14ac:dyDescent="0.2">
      <c r="A41" t="s">
        <v>1</v>
      </c>
      <c r="G41">
        <v>2542</v>
      </c>
      <c r="H41">
        <v>434</v>
      </c>
      <c r="I41">
        <v>2728</v>
      </c>
      <c r="J41">
        <v>1767</v>
      </c>
      <c r="K41">
        <v>1178</v>
      </c>
      <c r="M41">
        <v>434</v>
      </c>
      <c r="N41">
        <v>2232</v>
      </c>
      <c r="O41">
        <v>1488</v>
      </c>
      <c r="P41">
        <v>992</v>
      </c>
      <c r="Q41">
        <v>2356</v>
      </c>
      <c r="S41">
        <v>3441</v>
      </c>
      <c r="T41">
        <v>6510</v>
      </c>
      <c r="V41">
        <v>775</v>
      </c>
      <c r="W41">
        <v>14322</v>
      </c>
      <c r="X41">
        <v>1240</v>
      </c>
      <c r="AB41">
        <v>5456</v>
      </c>
      <c r="AC41">
        <v>5983</v>
      </c>
      <c r="AD41">
        <v>403</v>
      </c>
      <c r="AE41">
        <v>5084</v>
      </c>
      <c r="AF41">
        <v>3844</v>
      </c>
      <c r="AG41">
        <v>1581</v>
      </c>
      <c r="AI41">
        <v>1054</v>
      </c>
      <c r="AJ41" s="5">
        <f>SUM(D41:AI41)</f>
        <v>65844</v>
      </c>
      <c r="AK41">
        <f>+AB41+R41+W41+AC41+AE41+AF41+T41</f>
        <v>41199</v>
      </c>
      <c r="AL41">
        <f>+E41+G41+I41+J41+K41+N41+O41+Q41+S41+X41</f>
        <v>18972</v>
      </c>
      <c r="AM41">
        <f>+D41+H41+P41+Y41+AD41+AI41+AG41+C41+L41+M41+V41+U41+Z41+AA41</f>
        <v>5673</v>
      </c>
      <c r="AN41">
        <f>+G41+I41+N41+Q41+V41+X41+AI41</f>
        <v>12927</v>
      </c>
      <c r="AO41">
        <f>+B41+D41+E41+J41+K41+L41+M41+O41+P41+R41+S41+W41+Y41+AB41+AC41+AD41+AE41+AF41+AG41+T41</f>
        <v>52483</v>
      </c>
      <c r="AP41">
        <f>+AA41+Z41+U41+H41+C41</f>
        <v>434</v>
      </c>
    </row>
    <row r="42" spans="1:42" x14ac:dyDescent="0.2">
      <c r="A42" t="s">
        <v>2</v>
      </c>
      <c r="G42">
        <v>2306</v>
      </c>
      <c r="H42">
        <v>230</v>
      </c>
      <c r="I42">
        <v>2126</v>
      </c>
      <c r="J42">
        <v>1661</v>
      </c>
      <c r="K42">
        <v>989</v>
      </c>
      <c r="M42">
        <v>123</v>
      </c>
      <c r="N42">
        <v>1053</v>
      </c>
      <c r="O42">
        <f>+O41*0.5</f>
        <v>744</v>
      </c>
      <c r="P42">
        <v>527</v>
      </c>
      <c r="Q42">
        <v>2160</v>
      </c>
      <c r="S42">
        <f>+S41*0.634</f>
        <v>2181.5940000000001</v>
      </c>
      <c r="T42">
        <f>+T41*0.49</f>
        <v>3189.9</v>
      </c>
      <c r="V42">
        <v>665</v>
      </c>
      <c r="W42">
        <v>9186</v>
      </c>
      <c r="X42">
        <v>792</v>
      </c>
      <c r="AB42">
        <v>3338</v>
      </c>
      <c r="AC42">
        <f>+AC41*0.9135</f>
        <v>5465.4704999999994</v>
      </c>
      <c r="AD42">
        <v>221</v>
      </c>
      <c r="AE42">
        <v>4202</v>
      </c>
      <c r="AF42">
        <f>+AF41*0.429</f>
        <v>1649.076</v>
      </c>
      <c r="AG42">
        <v>1345</v>
      </c>
      <c r="AI42">
        <v>478</v>
      </c>
      <c r="AJ42" s="5">
        <f>SUM(D42:AI42)</f>
        <v>44632.040500000003</v>
      </c>
      <c r="AK42">
        <f>+AB42+R42+W42+AC42+AE42+AF42+T42</f>
        <v>27030.446500000002</v>
      </c>
      <c r="AL42">
        <f>+E42+G42+I42+J42+K42+N42+O42+Q42+S42+X42</f>
        <v>14012.594000000001</v>
      </c>
      <c r="AM42">
        <f>+D42+H42+P42+Y42+AD42+AI42+AG42+C42+L42+M42+V42+U42+Z42+AA42</f>
        <v>3589</v>
      </c>
      <c r="AN42">
        <f>+G42+I42+N42+Q42+V42+X42+AI42</f>
        <v>9580</v>
      </c>
      <c r="AO42">
        <f>+B42+D42+E42+J42+K42+L42+M42+O42+P42+R42+S42+W42+Y42+AB42+AC42+AD42+AE42+AF42+AG42+T42</f>
        <v>34822.040500000003</v>
      </c>
      <c r="AP42">
        <f>+AA42+Z42+U42+H42+C42</f>
        <v>230</v>
      </c>
    </row>
    <row r="43" spans="1:42" x14ac:dyDescent="0.2">
      <c r="A43" t="s">
        <v>4</v>
      </c>
      <c r="C43" s="3"/>
      <c r="D43" s="3" t="e">
        <f>+D42/D41</f>
        <v>#DIV/0!</v>
      </c>
      <c r="E43" s="3"/>
      <c r="G43" s="3">
        <f>+G42/G41</f>
        <v>0.90715971675845786</v>
      </c>
      <c r="H43" s="3">
        <f>+H42/H41</f>
        <v>0.52995391705069128</v>
      </c>
      <c r="I43" s="3">
        <f>+I42/I41</f>
        <v>0.77932551319648091</v>
      </c>
      <c r="J43" s="3">
        <f>+J42/J41</f>
        <v>0.94001131861912846</v>
      </c>
      <c r="K43" s="3">
        <f>+K42/K41</f>
        <v>0.8395585738539898</v>
      </c>
      <c r="L43" s="3"/>
      <c r="M43" s="3">
        <f t="shared" ref="M43:Y43" si="12">+M42/M41</f>
        <v>0.28341013824884792</v>
      </c>
      <c r="N43" s="3">
        <f t="shared" si="12"/>
        <v>0.47177419354838712</v>
      </c>
      <c r="O43" s="3">
        <f t="shared" si="12"/>
        <v>0.5</v>
      </c>
      <c r="P43" s="3">
        <f t="shared" si="12"/>
        <v>0.53125</v>
      </c>
      <c r="Q43" s="3">
        <f t="shared" si="12"/>
        <v>0.91680814940577249</v>
      </c>
      <c r="R43" s="3" t="e">
        <f t="shared" si="12"/>
        <v>#DIV/0!</v>
      </c>
      <c r="S43" s="3">
        <f t="shared" si="12"/>
        <v>0.63400000000000001</v>
      </c>
      <c r="T43" s="3">
        <f t="shared" si="12"/>
        <v>0.49</v>
      </c>
      <c r="U43" s="3" t="e">
        <f t="shared" si="12"/>
        <v>#DIV/0!</v>
      </c>
      <c r="V43" s="3">
        <f t="shared" si="12"/>
        <v>0.85806451612903223</v>
      </c>
      <c r="W43" s="3">
        <f t="shared" si="12"/>
        <v>0.64139086719731886</v>
      </c>
      <c r="X43" s="3">
        <f t="shared" si="12"/>
        <v>0.6387096774193548</v>
      </c>
      <c r="Y43" s="3" t="e">
        <f t="shared" si="12"/>
        <v>#DIV/0!</v>
      </c>
      <c r="Z43" s="3"/>
      <c r="AA43" s="3" t="e">
        <f t="shared" ref="AA43:AP43" si="13">+AA42/AA41</f>
        <v>#DIV/0!</v>
      </c>
      <c r="AB43" s="3">
        <f t="shared" si="13"/>
        <v>0.61180351906158359</v>
      </c>
      <c r="AC43" s="3">
        <f t="shared" si="13"/>
        <v>0.91349999999999987</v>
      </c>
      <c r="AD43" s="3">
        <f t="shared" si="13"/>
        <v>0.54838709677419351</v>
      </c>
      <c r="AE43" s="3">
        <f t="shared" si="13"/>
        <v>0.82651455546813535</v>
      </c>
      <c r="AF43" s="3">
        <f t="shared" si="13"/>
        <v>0.42899999999999999</v>
      </c>
      <c r="AG43" s="3">
        <f t="shared" si="13"/>
        <v>0.85072738772928524</v>
      </c>
      <c r="AH43" s="3"/>
      <c r="AI43" s="3">
        <f t="shared" si="13"/>
        <v>0.45351043643263755</v>
      </c>
      <c r="AJ43" s="6">
        <f t="shared" si="13"/>
        <v>0.67784521748374948</v>
      </c>
      <c r="AK43" s="3">
        <f t="shared" si="13"/>
        <v>0.65609472317289264</v>
      </c>
      <c r="AL43" s="3">
        <f t="shared" si="13"/>
        <v>0.73859340080118074</v>
      </c>
      <c r="AM43" s="3">
        <f t="shared" si="13"/>
        <v>0.63264586638462894</v>
      </c>
      <c r="AN43" s="3">
        <f t="shared" si="13"/>
        <v>0.74108455171346799</v>
      </c>
      <c r="AO43" s="3">
        <f t="shared" si="13"/>
        <v>0.66349180687079634</v>
      </c>
      <c r="AP43" s="3">
        <f t="shared" si="13"/>
        <v>0.52995391705069128</v>
      </c>
    </row>
    <row r="44" spans="1:42" x14ac:dyDescent="0.2">
      <c r="A44" s="20"/>
      <c r="B44" s="20"/>
      <c r="C44" s="20"/>
      <c r="D44" s="20"/>
      <c r="E44" s="20"/>
      <c r="G44" s="20">
        <v>1</v>
      </c>
      <c r="H44" s="20">
        <v>1</v>
      </c>
      <c r="I44" s="20">
        <v>1</v>
      </c>
      <c r="J44" s="20">
        <v>1</v>
      </c>
      <c r="K44" s="20">
        <v>1</v>
      </c>
      <c r="L44" s="20"/>
      <c r="M44" s="20">
        <v>1</v>
      </c>
      <c r="N44" s="20">
        <v>1</v>
      </c>
      <c r="O44" s="20">
        <v>1</v>
      </c>
      <c r="P44" s="20">
        <v>1</v>
      </c>
      <c r="Q44" s="20">
        <v>1</v>
      </c>
      <c r="R44" s="20"/>
      <c r="S44" s="20">
        <v>1</v>
      </c>
      <c r="T44" s="20">
        <v>1</v>
      </c>
      <c r="U44" s="20"/>
      <c r="V44" s="20">
        <v>1</v>
      </c>
      <c r="W44" s="20">
        <v>1</v>
      </c>
      <c r="X44" s="20">
        <v>1</v>
      </c>
      <c r="Y44" s="20"/>
      <c r="Z44" s="20"/>
      <c r="AA44" s="20"/>
      <c r="AB44" s="20">
        <v>1</v>
      </c>
      <c r="AC44" s="20">
        <v>1</v>
      </c>
      <c r="AD44" s="20">
        <v>1</v>
      </c>
      <c r="AE44" s="20">
        <v>1</v>
      </c>
      <c r="AF44" s="20">
        <v>1</v>
      </c>
      <c r="AG44" s="20">
        <v>1</v>
      </c>
      <c r="AH44" s="20"/>
      <c r="AI44" s="20">
        <v>1</v>
      </c>
      <c r="AJ44" s="19">
        <f>SUM(D44:AI44)</f>
        <v>22</v>
      </c>
      <c r="AK44" s="20">
        <f>+AB44+R44+W44+AC44+AE44+AF44+T44</f>
        <v>6</v>
      </c>
      <c r="AL44" s="20">
        <f>+E44+G44+I44+J44+K44+N44+O44+Q44+S44+X44</f>
        <v>9</v>
      </c>
      <c r="AM44" s="20">
        <f>+D44+H44+P44+Y44+AD44+AI44+AG44+C44+L44+M44+V44+U44+Z44+AA44</f>
        <v>7</v>
      </c>
      <c r="AN44" s="20">
        <f>+G44+I44+N44+Q44+V44+X44+AI44</f>
        <v>7</v>
      </c>
      <c r="AO44" s="20">
        <f>+B44+D44+E44+J44+K44+L44+M44+O44+P44+R44+S44+W44+Y44+AB44+AC44+AD44+AE44+AF44+AG44+T44</f>
        <v>14</v>
      </c>
      <c r="AP44" s="20">
        <f>+AA44+Z44+U44+H44+C44</f>
        <v>1</v>
      </c>
    </row>
    <row r="45" spans="1:42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19"/>
      <c r="AK45" s="20"/>
      <c r="AL45" s="20"/>
      <c r="AM45" s="20"/>
      <c r="AN45" s="20"/>
      <c r="AO45" s="20"/>
      <c r="AP45" s="20"/>
    </row>
    <row r="46" spans="1:42" x14ac:dyDescent="0.2">
      <c r="A46" s="2" t="s">
        <v>58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"/>
      <c r="Z46" s="1"/>
      <c r="AA46" s="1"/>
      <c r="AB46" s="1"/>
      <c r="AC46" s="1"/>
      <c r="AD46" s="1"/>
      <c r="AE46" s="1"/>
      <c r="AF46" s="1"/>
      <c r="AJ46" s="5"/>
    </row>
    <row r="47" spans="1:42" x14ac:dyDescent="0.2">
      <c r="A47" t="s">
        <v>1</v>
      </c>
      <c r="D47">
        <v>1560</v>
      </c>
      <c r="F47">
        <f>64*30</f>
        <v>1920</v>
      </c>
      <c r="G47">
        <v>2480</v>
      </c>
      <c r="H47">
        <v>420</v>
      </c>
      <c r="I47">
        <v>2460</v>
      </c>
      <c r="J47">
        <v>1710</v>
      </c>
      <c r="K47">
        <v>1140</v>
      </c>
      <c r="M47">
        <v>420</v>
      </c>
      <c r="N47">
        <v>2160</v>
      </c>
      <c r="O47">
        <v>1440</v>
      </c>
      <c r="P47">
        <v>0</v>
      </c>
      <c r="Q47">
        <v>2310</v>
      </c>
      <c r="S47">
        <v>3330</v>
      </c>
      <c r="T47">
        <v>6300</v>
      </c>
      <c r="U47">
        <v>1380</v>
      </c>
      <c r="V47">
        <v>750</v>
      </c>
      <c r="W47">
        <v>13860</v>
      </c>
      <c r="X47">
        <v>1200</v>
      </c>
      <c r="Y47">
        <v>0</v>
      </c>
      <c r="AA47">
        <v>0</v>
      </c>
      <c r="AB47">
        <v>5400</v>
      </c>
      <c r="AC47">
        <v>5790</v>
      </c>
      <c r="AD47">
        <v>390</v>
      </c>
      <c r="AE47">
        <v>4920</v>
      </c>
      <c r="AF47">
        <v>3720</v>
      </c>
      <c r="AG47">
        <v>1530</v>
      </c>
      <c r="AI47">
        <v>998</v>
      </c>
      <c r="AJ47" s="5">
        <f>SUM(D47:AI47)</f>
        <v>67588</v>
      </c>
      <c r="AK47">
        <f>+AB47+R47+W47+AC47+AE47+AF47+T47</f>
        <v>39990</v>
      </c>
      <c r="AL47">
        <f>+E47+G47+I47+J47+K47+N47+O47+Q47+S47+X47+F47</f>
        <v>20150</v>
      </c>
      <c r="AM47">
        <f>+D47+H47+P47+Y47+AD47+AI47+AG47+C47+L47+M47+V47+U47+Z47+AA47</f>
        <v>7448</v>
      </c>
      <c r="AN47">
        <f>+G47+I47+N47+Q47+V47+X47+AI47</f>
        <v>12358</v>
      </c>
      <c r="AO47">
        <f>+B47+D47+E47+J47+K47+L47+M47+O47+P47+R47+S47+W47+Y47+AB47+AC47+AD47+AE47+AF47+AG47+T47+F47</f>
        <v>53430</v>
      </c>
      <c r="AP47">
        <f>+AA47+Z47+U47+H47+C47</f>
        <v>1800</v>
      </c>
    </row>
    <row r="48" spans="1:42" x14ac:dyDescent="0.2">
      <c r="A48" t="s">
        <v>2</v>
      </c>
      <c r="D48">
        <v>582</v>
      </c>
      <c r="F48">
        <f>+F47*0.56</f>
        <v>1075.2</v>
      </c>
      <c r="G48">
        <v>2148</v>
      </c>
      <c r="H48">
        <v>145</v>
      </c>
      <c r="I48">
        <v>1702</v>
      </c>
      <c r="J48">
        <v>1625</v>
      </c>
      <c r="K48">
        <v>1037</v>
      </c>
      <c r="M48">
        <v>72</v>
      </c>
      <c r="N48">
        <v>1220</v>
      </c>
      <c r="O48">
        <v>821</v>
      </c>
      <c r="P48">
        <v>0</v>
      </c>
      <c r="Q48">
        <v>1907</v>
      </c>
      <c r="S48">
        <f>+S47*0.39</f>
        <v>1298.7</v>
      </c>
      <c r="T48">
        <f>+T47*0.38</f>
        <v>2394</v>
      </c>
      <c r="U48">
        <v>938</v>
      </c>
      <c r="V48">
        <v>671</v>
      </c>
      <c r="W48">
        <v>6262</v>
      </c>
      <c r="X48">
        <v>792</v>
      </c>
      <c r="Y48">
        <v>0</v>
      </c>
      <c r="AA48">
        <v>0</v>
      </c>
      <c r="AB48">
        <f>+AB47*0.39</f>
        <v>2106</v>
      </c>
      <c r="AC48">
        <f>+AC47*0.9</f>
        <v>5211</v>
      </c>
      <c r="AD48">
        <v>183</v>
      </c>
      <c r="AE48">
        <v>3274</v>
      </c>
      <c r="AF48">
        <f>+AF47*0.487</f>
        <v>1811.6399999999999</v>
      </c>
      <c r="AG48">
        <v>1345</v>
      </c>
      <c r="AI48">
        <v>221</v>
      </c>
      <c r="AJ48" s="5">
        <f>SUM(D48:AI48)</f>
        <v>38841.54</v>
      </c>
      <c r="AK48">
        <f>+AB48+R48+W48+AC48+AE48+AF48+T48</f>
        <v>21058.639999999999</v>
      </c>
      <c r="AL48">
        <f>+E48+G48+I48+J48+K48+N48+O48+Q48+S48+X48+F48</f>
        <v>13625.900000000001</v>
      </c>
      <c r="AM48">
        <f>+D48+H48+P48+Y48+AD48+AI48+AG48+C48+L48+M48+V48+U48+Z48+AA48</f>
        <v>4157</v>
      </c>
      <c r="AN48">
        <f>+G48+I48+N48+Q48+V48+X48+AI48</f>
        <v>8661</v>
      </c>
      <c r="AO48">
        <f>+B48+D48+E48+J48+K48+L48+M48+O48+P48+R48+S48+W48+Y48+AB48+AC48+AD48+AE48+AF48+AG48+T48+F48</f>
        <v>29097.54</v>
      </c>
      <c r="AP48">
        <f>+AA48+Z48+U48+H48+C48</f>
        <v>1083</v>
      </c>
    </row>
    <row r="49" spans="1:42" x14ac:dyDescent="0.2">
      <c r="A49" t="s">
        <v>4</v>
      </c>
      <c r="C49" s="3"/>
      <c r="D49" s="3">
        <f>+D48/D47</f>
        <v>0.37307692307692308</v>
      </c>
      <c r="E49" s="3"/>
      <c r="F49" s="3">
        <f t="shared" ref="F49:K49" si="14">+F48/F47</f>
        <v>0.56000000000000005</v>
      </c>
      <c r="G49" s="3">
        <f t="shared" si="14"/>
        <v>0.86612903225806448</v>
      </c>
      <c r="H49" s="3">
        <f t="shared" si="14"/>
        <v>0.34523809523809523</v>
      </c>
      <c r="I49" s="3">
        <f t="shared" si="14"/>
        <v>0.69186991869918701</v>
      </c>
      <c r="J49" s="3">
        <f t="shared" si="14"/>
        <v>0.95029239766081874</v>
      </c>
      <c r="K49" s="3">
        <f t="shared" si="14"/>
        <v>0.9096491228070176</v>
      </c>
      <c r="L49" s="3"/>
      <c r="M49" s="3">
        <f t="shared" ref="M49:X49" si="15">+M48/M47</f>
        <v>0.17142857142857143</v>
      </c>
      <c r="N49" s="3">
        <f t="shared" si="15"/>
        <v>0.56481481481481477</v>
      </c>
      <c r="O49" s="3">
        <f t="shared" si="15"/>
        <v>0.57013888888888886</v>
      </c>
      <c r="P49" s="3" t="s">
        <v>15</v>
      </c>
      <c r="Q49" s="3">
        <f t="shared" si="15"/>
        <v>0.82554112554112558</v>
      </c>
      <c r="R49" s="3" t="e">
        <f t="shared" si="15"/>
        <v>#DIV/0!</v>
      </c>
      <c r="S49" s="3">
        <f t="shared" si="15"/>
        <v>0.39</v>
      </c>
      <c r="T49" s="3">
        <f t="shared" si="15"/>
        <v>0.38</v>
      </c>
      <c r="U49" s="3">
        <f t="shared" si="15"/>
        <v>0.67971014492753623</v>
      </c>
      <c r="V49" s="3">
        <f t="shared" si="15"/>
        <v>0.89466666666666672</v>
      </c>
      <c r="W49" s="3">
        <f t="shared" si="15"/>
        <v>0.45180375180375182</v>
      </c>
      <c r="X49" s="3">
        <f t="shared" si="15"/>
        <v>0.66</v>
      </c>
      <c r="Y49" s="3" t="s">
        <v>15</v>
      </c>
      <c r="Z49" s="3"/>
      <c r="AA49" s="3" t="s">
        <v>15</v>
      </c>
      <c r="AB49" s="3">
        <f t="shared" ref="AB49:AP49" si="16">+AB48/AB47</f>
        <v>0.39</v>
      </c>
      <c r="AC49" s="3">
        <f t="shared" si="16"/>
        <v>0.9</v>
      </c>
      <c r="AD49" s="3">
        <f t="shared" si="16"/>
        <v>0.46923076923076923</v>
      </c>
      <c r="AE49" s="3">
        <f t="shared" si="16"/>
        <v>0.66544715447154468</v>
      </c>
      <c r="AF49" s="3">
        <f t="shared" si="16"/>
        <v>0.48699999999999999</v>
      </c>
      <c r="AG49" s="3">
        <f t="shared" si="16"/>
        <v>0.87908496732026142</v>
      </c>
      <c r="AH49" s="3"/>
      <c r="AI49" s="3">
        <f t="shared" si="16"/>
        <v>0.22144288577154309</v>
      </c>
      <c r="AJ49" s="6">
        <f t="shared" si="16"/>
        <v>0.57468100846304082</v>
      </c>
      <c r="AK49" s="3">
        <f t="shared" si="16"/>
        <v>0.5265976494123531</v>
      </c>
      <c r="AL49" s="3">
        <f t="shared" si="16"/>
        <v>0.67622332506203486</v>
      </c>
      <c r="AM49" s="3">
        <f t="shared" si="16"/>
        <v>0.55813641245972068</v>
      </c>
      <c r="AN49" s="3">
        <f t="shared" si="16"/>
        <v>0.70084156012299725</v>
      </c>
      <c r="AO49" s="3">
        <f t="shared" si="16"/>
        <v>0.54459180235822569</v>
      </c>
      <c r="AP49" s="3">
        <f t="shared" si="16"/>
        <v>0.60166666666666668</v>
      </c>
    </row>
    <row r="50" spans="1:42" x14ac:dyDescent="0.2">
      <c r="A50" s="20"/>
      <c r="B50" s="20"/>
      <c r="C50" s="20"/>
      <c r="D50" s="20">
        <v>1</v>
      </c>
      <c r="E50" s="20"/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/>
      <c r="M50" s="20">
        <v>1</v>
      </c>
      <c r="N50" s="20">
        <v>1</v>
      </c>
      <c r="O50" s="20">
        <v>1</v>
      </c>
      <c r="P50" s="20"/>
      <c r="Q50" s="20">
        <v>1</v>
      </c>
      <c r="R50" s="20"/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/>
      <c r="Z50" s="20"/>
      <c r="AA50" s="20"/>
      <c r="AB50" s="20">
        <v>1</v>
      </c>
      <c r="AC50" s="20">
        <v>1</v>
      </c>
      <c r="AD50" s="20">
        <v>1</v>
      </c>
      <c r="AE50" s="20">
        <v>1</v>
      </c>
      <c r="AF50" s="20">
        <v>1</v>
      </c>
      <c r="AG50" s="20">
        <v>1</v>
      </c>
      <c r="AH50" s="20"/>
      <c r="AI50" s="20">
        <v>1</v>
      </c>
      <c r="AJ50" s="19">
        <f>SUM(D50:AI50)</f>
        <v>24</v>
      </c>
      <c r="AK50" s="20">
        <f>+AB50+R50+W50+AC50+AE50+AF50+T50</f>
        <v>6</v>
      </c>
      <c r="AL50" s="20">
        <f>+E50+G50+I50+J50+K50+N50+O50+Q50+S50+X50+F50</f>
        <v>10</v>
      </c>
      <c r="AM50" s="20">
        <f>+D50+H50+P50+Y50+AD50+AI50+AG50+C50+L50+M50+V50+U50+Z50+AA50</f>
        <v>8</v>
      </c>
      <c r="AN50" s="20">
        <f>+G50+I50+N50+Q50+V50+X50+AI50</f>
        <v>7</v>
      </c>
      <c r="AO50" s="20">
        <f>+B50+D50+E50+J50+K50+L50+M50+O50+P50+R50+S50+W50+Y50+AB50+AC50+AD50+AE50+AF50+AG50+T50+F50</f>
        <v>15</v>
      </c>
      <c r="AP50" s="20">
        <f>+AA50+Z50+U50+H50+C50</f>
        <v>2</v>
      </c>
    </row>
    <row r="52" spans="1:42" x14ac:dyDescent="0.2">
      <c r="A52" s="2" t="s">
        <v>59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"/>
      <c r="Z52" s="1"/>
      <c r="AA52" s="1"/>
      <c r="AB52" s="1"/>
      <c r="AC52" s="1"/>
      <c r="AD52" s="1"/>
      <c r="AE52" s="1"/>
      <c r="AF52" s="1"/>
      <c r="AJ52" s="5"/>
    </row>
    <row r="53" spans="1:42" x14ac:dyDescent="0.2">
      <c r="A53" t="s">
        <v>1</v>
      </c>
      <c r="D53">
        <v>1612</v>
      </c>
      <c r="F53">
        <v>1984</v>
      </c>
      <c r="G53">
        <v>2542</v>
      </c>
      <c r="H53">
        <v>434</v>
      </c>
      <c r="I53">
        <v>2728</v>
      </c>
      <c r="J53">
        <v>1767</v>
      </c>
      <c r="K53">
        <v>1178</v>
      </c>
      <c r="N53">
        <v>2232</v>
      </c>
      <c r="O53">
        <v>1488</v>
      </c>
      <c r="P53">
        <v>0</v>
      </c>
      <c r="Q53">
        <v>2387</v>
      </c>
      <c r="S53">
        <v>3441</v>
      </c>
      <c r="T53">
        <v>6510</v>
      </c>
      <c r="V53">
        <v>775</v>
      </c>
      <c r="W53">
        <v>14322</v>
      </c>
      <c r="X53">
        <v>1240</v>
      </c>
      <c r="AB53">
        <v>5456</v>
      </c>
      <c r="AC53">
        <v>5983</v>
      </c>
      <c r="AD53">
        <v>403</v>
      </c>
      <c r="AE53">
        <v>5084</v>
      </c>
      <c r="AF53">
        <v>3844</v>
      </c>
      <c r="AG53">
        <v>1581</v>
      </c>
      <c r="AI53">
        <v>1054</v>
      </c>
      <c r="AJ53" s="5">
        <f>SUM(D53:AI53)</f>
        <v>68045</v>
      </c>
      <c r="AK53">
        <f>+AB53+R53+W53+AC53+AE53+AF53+T53</f>
        <v>41199</v>
      </c>
      <c r="AL53">
        <f>+E53+G53+I53+J53+K53+N53+O53+Q53+S53+X53+F53</f>
        <v>20987</v>
      </c>
      <c r="AM53">
        <f>+D53+H53+P53+Y53+AD53+AI53+AG53+C53+L53+M53+V53+U53+Z53+AA53</f>
        <v>5859</v>
      </c>
      <c r="AN53">
        <f>+G53+I53+N53+Q53+V53+X53+AI53</f>
        <v>12958</v>
      </c>
      <c r="AO53">
        <f>+B53+D53+E53+J53+K53+L53+M53+O53+P53+R53+S53+W53+Y53+AB53+AC53+AD53+AE53+AF53+AG53+T53+F53</f>
        <v>54653</v>
      </c>
      <c r="AP53">
        <f>+AA53+Z53+U53+H53+C53</f>
        <v>434</v>
      </c>
    </row>
    <row r="54" spans="1:42" x14ac:dyDescent="0.2">
      <c r="A54" t="s">
        <v>2</v>
      </c>
      <c r="D54">
        <v>485</v>
      </c>
      <c r="F54">
        <v>595</v>
      </c>
      <c r="G54">
        <f>+G53*0.893</f>
        <v>2270.0059999999999</v>
      </c>
      <c r="H54">
        <v>127</v>
      </c>
      <c r="I54">
        <v>1717</v>
      </c>
      <c r="J54">
        <f>+J53*0.89</f>
        <v>1572.63</v>
      </c>
      <c r="K54">
        <f>+K53*0.65</f>
        <v>765.7</v>
      </c>
      <c r="N54">
        <v>1082</v>
      </c>
      <c r="O54">
        <v>482</v>
      </c>
      <c r="P54">
        <v>0</v>
      </c>
      <c r="Q54">
        <v>1573</v>
      </c>
      <c r="S54">
        <f>+S53*0.35</f>
        <v>1204.3499999999999</v>
      </c>
      <c r="T54">
        <f>+T53*0.45</f>
        <v>2929.5</v>
      </c>
      <c r="V54">
        <f>+V53*0.8</f>
        <v>620</v>
      </c>
      <c r="W54">
        <v>7596</v>
      </c>
      <c r="X54">
        <v>778</v>
      </c>
      <c r="Y54">
        <v>0</v>
      </c>
      <c r="AA54">
        <v>0</v>
      </c>
      <c r="AB54">
        <f>+AB53*0.4728</f>
        <v>2579.5967999999998</v>
      </c>
      <c r="AC54">
        <f>+AC53*0.7653</f>
        <v>4578.7898999999998</v>
      </c>
      <c r="AD54">
        <v>254</v>
      </c>
      <c r="AE54">
        <v>4124</v>
      </c>
      <c r="AF54">
        <f>+AF53*0.76</f>
        <v>2921.44</v>
      </c>
      <c r="AG54">
        <v>1364</v>
      </c>
      <c r="AI54">
        <v>243</v>
      </c>
      <c r="AJ54" s="5">
        <f>SUM(D54:AI54)</f>
        <v>39862.012700000007</v>
      </c>
      <c r="AK54">
        <f>+AB54+R54+W54+AC54+AE54+AF54+T54</f>
        <v>24729.326699999998</v>
      </c>
      <c r="AL54">
        <f>+E54+G54+I54+J54+K54+N54+O54+Q54+S54+X54+F54</f>
        <v>12039.686</v>
      </c>
      <c r="AM54">
        <f>+D54+H54+P54+Y54+AD54+AI54+AG54+C54+L54+M54+V54+U54+Z54+AA54</f>
        <v>3093</v>
      </c>
      <c r="AN54">
        <f>+G54+I54+N54+Q54+V54+X54+AI54</f>
        <v>8283.0059999999994</v>
      </c>
      <c r="AO54">
        <f>+B54+D54+E54+J54+K54+L54+M54+O54+P54+R54+S54+W54+Y54+AB54+AC54+AD54+AE54+AF54+AG54+T54+F54</f>
        <v>31452.006699999998</v>
      </c>
      <c r="AP54">
        <f>+AA54+Z54+U54+H54+C54</f>
        <v>127</v>
      </c>
    </row>
    <row r="55" spans="1:42" x14ac:dyDescent="0.2">
      <c r="A55" t="s">
        <v>4</v>
      </c>
      <c r="C55" s="3"/>
      <c r="D55" s="3">
        <f>+D54/D53</f>
        <v>0.3008684863523573</v>
      </c>
      <c r="E55" s="3"/>
      <c r="F55" s="3">
        <f t="shared" ref="F55:K55" si="17">+F54/F53</f>
        <v>0.29989919354838712</v>
      </c>
      <c r="G55" s="3">
        <f t="shared" si="17"/>
        <v>0.8929999999999999</v>
      </c>
      <c r="H55" s="3">
        <f t="shared" si="17"/>
        <v>0.29262672811059909</v>
      </c>
      <c r="I55" s="3">
        <f t="shared" si="17"/>
        <v>0.62939882697947214</v>
      </c>
      <c r="J55" s="3">
        <f t="shared" si="17"/>
        <v>0.89</v>
      </c>
      <c r="K55" s="3">
        <f t="shared" si="17"/>
        <v>0.65</v>
      </c>
      <c r="L55" s="3"/>
      <c r="M55" s="3" t="e">
        <f t="shared" ref="M55:X55" si="18">+M54/M53</f>
        <v>#DIV/0!</v>
      </c>
      <c r="N55" s="3">
        <f t="shared" si="18"/>
        <v>0.48476702508960573</v>
      </c>
      <c r="O55" s="3">
        <f t="shared" si="18"/>
        <v>0.32392473118279569</v>
      </c>
      <c r="P55" s="3">
        <v>0</v>
      </c>
      <c r="Q55" s="3">
        <f t="shared" si="18"/>
        <v>0.65898617511520741</v>
      </c>
      <c r="R55" s="3" t="e">
        <f t="shared" si="18"/>
        <v>#DIV/0!</v>
      </c>
      <c r="S55" s="3">
        <f t="shared" si="18"/>
        <v>0.35</v>
      </c>
      <c r="T55" s="3">
        <f t="shared" si="18"/>
        <v>0.45</v>
      </c>
      <c r="U55" s="3" t="e">
        <f t="shared" si="18"/>
        <v>#DIV/0!</v>
      </c>
      <c r="V55" s="3">
        <f t="shared" si="18"/>
        <v>0.8</v>
      </c>
      <c r="W55" s="3">
        <f t="shared" si="18"/>
        <v>0.53037285295349812</v>
      </c>
      <c r="X55" s="3">
        <f t="shared" si="18"/>
        <v>0.6274193548387097</v>
      </c>
      <c r="Y55" s="3">
        <v>0</v>
      </c>
      <c r="Z55" s="3"/>
      <c r="AA55" s="3">
        <v>0</v>
      </c>
      <c r="AB55" s="3">
        <f t="shared" ref="AB55:AP55" si="19">+AB54/AB53</f>
        <v>0.47279999999999994</v>
      </c>
      <c r="AC55" s="3">
        <f t="shared" si="19"/>
        <v>0.76529999999999998</v>
      </c>
      <c r="AD55" s="3">
        <f t="shared" si="19"/>
        <v>0.63027295285359797</v>
      </c>
      <c r="AE55" s="3">
        <f t="shared" si="19"/>
        <v>0.8111723052714398</v>
      </c>
      <c r="AF55" s="3">
        <f t="shared" si="19"/>
        <v>0.76</v>
      </c>
      <c r="AG55" s="3">
        <f t="shared" si="19"/>
        <v>0.86274509803921573</v>
      </c>
      <c r="AH55" s="3"/>
      <c r="AI55" s="3">
        <f t="shared" si="19"/>
        <v>0.23055028462998103</v>
      </c>
      <c r="AJ55" s="6">
        <f t="shared" si="19"/>
        <v>0.58581839517966061</v>
      </c>
      <c r="AK55" s="3">
        <f t="shared" si="19"/>
        <v>0.60024094516857196</v>
      </c>
      <c r="AL55" s="3">
        <f t="shared" si="19"/>
        <v>0.57367351217420304</v>
      </c>
      <c r="AM55" s="3">
        <f t="shared" si="19"/>
        <v>0.52790578597030213</v>
      </c>
      <c r="AN55" s="3">
        <f t="shared" si="19"/>
        <v>0.63921947831455472</v>
      </c>
      <c r="AO55" s="3">
        <f t="shared" si="19"/>
        <v>0.57548545733994472</v>
      </c>
      <c r="AP55" s="3">
        <f t="shared" si="19"/>
        <v>0.29262672811059909</v>
      </c>
    </row>
    <row r="56" spans="1:42" x14ac:dyDescent="0.2">
      <c r="A56" s="20"/>
      <c r="B56" s="20"/>
      <c r="C56" s="20"/>
      <c r="D56" s="20">
        <v>1</v>
      </c>
      <c r="E56" s="20"/>
      <c r="F56" s="20">
        <v>1</v>
      </c>
      <c r="G56" s="20">
        <v>1</v>
      </c>
      <c r="H56" s="20">
        <v>1</v>
      </c>
      <c r="I56" s="20">
        <v>1</v>
      </c>
      <c r="J56" s="20">
        <v>1</v>
      </c>
      <c r="K56" s="20">
        <v>1</v>
      </c>
      <c r="L56" s="20"/>
      <c r="M56" s="20"/>
      <c r="N56" s="20">
        <v>1</v>
      </c>
      <c r="O56" s="20">
        <v>1</v>
      </c>
      <c r="P56" s="20"/>
      <c r="Q56" s="20">
        <v>1</v>
      </c>
      <c r="R56" s="20"/>
      <c r="S56" s="20">
        <v>1</v>
      </c>
      <c r="T56" s="20">
        <v>1</v>
      </c>
      <c r="U56" s="20"/>
      <c r="V56" s="20">
        <v>1</v>
      </c>
      <c r="W56" s="20">
        <v>1</v>
      </c>
      <c r="X56" s="20">
        <v>1</v>
      </c>
      <c r="Y56" s="20"/>
      <c r="Z56" s="20"/>
      <c r="AA56" s="20"/>
      <c r="AB56" s="20">
        <v>1</v>
      </c>
      <c r="AC56" s="20">
        <v>1</v>
      </c>
      <c r="AD56" s="20">
        <v>1</v>
      </c>
      <c r="AE56" s="20">
        <v>1</v>
      </c>
      <c r="AF56" s="20">
        <v>1</v>
      </c>
      <c r="AG56" s="20">
        <v>1</v>
      </c>
      <c r="AH56" s="20"/>
      <c r="AI56" s="20">
        <v>1</v>
      </c>
      <c r="AJ56" s="19">
        <f>SUM(D56:AI56)</f>
        <v>22</v>
      </c>
      <c r="AK56" s="20">
        <f>+AB56+R56+W56+AC56+AE56+AF56+T56</f>
        <v>6</v>
      </c>
      <c r="AL56" s="20">
        <f>+E56+G56+I56+J56+K56+N56+O56+Q56+S56+X56+F56</f>
        <v>10</v>
      </c>
      <c r="AM56" s="20">
        <f>+D56+H56+P56+Y56+AD56+AI56+AG56+C56+L56+M56+V56+U56+Z56+AA56</f>
        <v>6</v>
      </c>
      <c r="AN56" s="20">
        <f>+G56+I56+N56+Q56+V56+X56+AI56</f>
        <v>7</v>
      </c>
      <c r="AO56" s="20">
        <f>+B56+D56+E56+J56+K56+L56+M56+O56+P56+R56+S56+W56+Y56+AB56+AC56+AD56+AE56+AF56+AG56+T56+F56</f>
        <v>14</v>
      </c>
      <c r="AP56" s="20">
        <f>+AA56+Z56+U56+H56+C56</f>
        <v>1</v>
      </c>
    </row>
    <row r="58" spans="1:42" x14ac:dyDescent="0.2">
      <c r="A58" s="2" t="s">
        <v>62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"/>
      <c r="Z58" s="1"/>
      <c r="AA58" s="1"/>
      <c r="AB58" s="1"/>
      <c r="AC58" s="1"/>
      <c r="AD58" s="1"/>
      <c r="AE58" s="1"/>
      <c r="AF58" s="1"/>
      <c r="AJ58" s="5"/>
    </row>
    <row r="59" spans="1:42" x14ac:dyDescent="0.2">
      <c r="A59" t="s">
        <v>1</v>
      </c>
      <c r="D59">
        <v>1612</v>
      </c>
      <c r="F59">
        <v>1984</v>
      </c>
      <c r="G59">
        <v>2542</v>
      </c>
      <c r="H59">
        <v>434</v>
      </c>
      <c r="I59">
        <v>2728</v>
      </c>
      <c r="J59">
        <v>1767</v>
      </c>
      <c r="K59">
        <v>1178</v>
      </c>
      <c r="M59">
        <v>434</v>
      </c>
      <c r="N59">
        <v>1800</v>
      </c>
      <c r="O59">
        <v>1488</v>
      </c>
      <c r="P59">
        <v>0</v>
      </c>
      <c r="Q59">
        <v>2387</v>
      </c>
      <c r="S59">
        <v>3441</v>
      </c>
      <c r="T59">
        <v>6510</v>
      </c>
      <c r="U59">
        <v>1426</v>
      </c>
      <c r="V59">
        <v>775</v>
      </c>
      <c r="W59">
        <v>14384</v>
      </c>
      <c r="X59">
        <v>1240</v>
      </c>
      <c r="AB59">
        <v>5456</v>
      </c>
      <c r="AC59">
        <v>5983</v>
      </c>
      <c r="AD59">
        <v>403</v>
      </c>
      <c r="AE59">
        <v>5084</v>
      </c>
      <c r="AF59">
        <v>3844</v>
      </c>
      <c r="AG59">
        <v>1581</v>
      </c>
      <c r="AJ59" s="5">
        <f>SUM(D59:AI59)</f>
        <v>68481</v>
      </c>
      <c r="AK59">
        <f>+AB59+R59+W59+AC59+AE59+AF59+T59</f>
        <v>41261</v>
      </c>
      <c r="AL59">
        <f>+E59+G59+I59+J59+K59+N59+O59+Q59+S59+X59+F59</f>
        <v>20555</v>
      </c>
      <c r="AM59">
        <f>+D59+H59+P59+Y59+AD59+AI59+AG59+C59+L59+M59+V59+U59+Z59+AA59</f>
        <v>6665</v>
      </c>
      <c r="AN59">
        <f>+G59+I59+N59+Q59+V59+X59+AI59</f>
        <v>11472</v>
      </c>
      <c r="AO59">
        <f>+B59+D59+E59+J59+K59+L59+M59+O59+P59+R59+S59+W59+Y59+AB59+AC59+AD59+AE59+AF59+AG59+T59+F59</f>
        <v>55149</v>
      </c>
      <c r="AP59">
        <f>+AA59+Z59+U59+H59+C59</f>
        <v>1860</v>
      </c>
    </row>
    <row r="60" spans="1:42" x14ac:dyDescent="0.2">
      <c r="A60" t="s">
        <v>2</v>
      </c>
      <c r="D60">
        <v>825</v>
      </c>
      <c r="F60">
        <v>913</v>
      </c>
      <c r="G60">
        <v>1678</v>
      </c>
      <c r="H60">
        <v>244</v>
      </c>
      <c r="I60">
        <v>1652</v>
      </c>
      <c r="J60">
        <v>1467</v>
      </c>
      <c r="K60">
        <v>742</v>
      </c>
      <c r="M60">
        <v>35</v>
      </c>
      <c r="N60">
        <v>681</v>
      </c>
      <c r="O60">
        <v>372</v>
      </c>
      <c r="P60">
        <v>0</v>
      </c>
      <c r="Q60">
        <v>1317</v>
      </c>
      <c r="S60">
        <f>+S59*0.39</f>
        <v>1341.99</v>
      </c>
      <c r="T60">
        <f>+T59*0.59</f>
        <v>3840.8999999999996</v>
      </c>
      <c r="U60">
        <f>+U59*0.725</f>
        <v>1033.8499999999999</v>
      </c>
      <c r="V60">
        <v>495</v>
      </c>
      <c r="W60">
        <v>7925</v>
      </c>
      <c r="X60">
        <v>751</v>
      </c>
      <c r="AB60">
        <f>+AB59*0.4964</f>
        <v>2708.3584000000001</v>
      </c>
      <c r="AC60">
        <f>+AC59*0.5371</f>
        <v>3213.4693000000002</v>
      </c>
      <c r="AD60">
        <v>205</v>
      </c>
      <c r="AE60">
        <v>3267</v>
      </c>
      <c r="AF60">
        <f>+AF59*0.737</f>
        <v>2833.0279999999998</v>
      </c>
      <c r="AG60">
        <v>1314</v>
      </c>
      <c r="AJ60" s="5">
        <f>SUM(D60:AI60)</f>
        <v>38854.595699999998</v>
      </c>
      <c r="AK60">
        <f>+AB60+R60+W60+AC60+AE60+AF60+T60</f>
        <v>23787.755700000002</v>
      </c>
      <c r="AL60">
        <f>+E60+G60+I60+J60+K60+N60+O60+Q60+S60+X60+F60</f>
        <v>10914.99</v>
      </c>
      <c r="AM60">
        <f>+D60+H60+P60+Y60+AD60+AI60+AG60+C60+L60+M60+V60+U60+Z60+AA60</f>
        <v>4151.8500000000004</v>
      </c>
      <c r="AN60">
        <f>+G60+I60+N60+Q60+V60+X60+AI60</f>
        <v>6574</v>
      </c>
      <c r="AO60">
        <f>+B60+D60+E60+J60+K60+L60+M60+O60+P60+R60+S60+W60+Y60+AB60+AC60+AD60+AE60+AF60+AG60+T60+F60</f>
        <v>31002.745699999999</v>
      </c>
      <c r="AP60">
        <f>+AA60+Z60+U60+H60+C60</f>
        <v>1277.8499999999999</v>
      </c>
    </row>
    <row r="61" spans="1:42" x14ac:dyDescent="0.2">
      <c r="A61" t="s">
        <v>4</v>
      </c>
      <c r="C61" s="3"/>
      <c r="D61" s="3">
        <f>+D60/D59</f>
        <v>0.51178660049627789</v>
      </c>
      <c r="E61" s="3"/>
      <c r="F61" s="3">
        <f t="shared" ref="F61:K61" si="20">+F60/F59</f>
        <v>0.46018145161290325</v>
      </c>
      <c r="G61" s="3">
        <f t="shared" si="20"/>
        <v>0.6601101494885917</v>
      </c>
      <c r="H61" s="3">
        <f t="shared" si="20"/>
        <v>0.56221198156682028</v>
      </c>
      <c r="I61" s="3">
        <f t="shared" si="20"/>
        <v>0.6055718475073314</v>
      </c>
      <c r="J61" s="3">
        <f t="shared" si="20"/>
        <v>0.83022071307300505</v>
      </c>
      <c r="K61" s="3">
        <f t="shared" si="20"/>
        <v>0.62988115449915105</v>
      </c>
      <c r="L61" s="3"/>
      <c r="M61" s="3">
        <f>+M60/M59</f>
        <v>8.0645161290322578E-2</v>
      </c>
      <c r="N61" s="3">
        <f>+N60/N59</f>
        <v>0.37833333333333335</v>
      </c>
      <c r="O61" s="3">
        <f>+O60/O59</f>
        <v>0.25</v>
      </c>
      <c r="P61" s="3">
        <v>0</v>
      </c>
      <c r="Q61" s="3">
        <f t="shared" ref="Q61:X61" si="21">+Q60/Q59</f>
        <v>0.55173858399664855</v>
      </c>
      <c r="R61" s="3" t="e">
        <f t="shared" si="21"/>
        <v>#DIV/0!</v>
      </c>
      <c r="S61" s="3">
        <f t="shared" si="21"/>
        <v>0.39</v>
      </c>
      <c r="T61" s="3">
        <f t="shared" si="21"/>
        <v>0.59</v>
      </c>
      <c r="U61" s="3">
        <f t="shared" si="21"/>
        <v>0.72499999999999998</v>
      </c>
      <c r="V61" s="3">
        <f t="shared" si="21"/>
        <v>0.6387096774193548</v>
      </c>
      <c r="W61" s="3">
        <f t="shared" si="21"/>
        <v>0.55095939933259175</v>
      </c>
      <c r="X61" s="3">
        <f t="shared" si="21"/>
        <v>0.60564516129032253</v>
      </c>
      <c r="Y61" s="3">
        <v>0</v>
      </c>
      <c r="Z61" s="3"/>
      <c r="AA61" s="3">
        <v>0</v>
      </c>
      <c r="AB61" s="3">
        <f t="shared" ref="AB61:AP61" si="22">+AB60/AB59</f>
        <v>0.49640000000000001</v>
      </c>
      <c r="AC61" s="3">
        <f t="shared" si="22"/>
        <v>0.53710000000000002</v>
      </c>
      <c r="AD61" s="3">
        <f t="shared" si="22"/>
        <v>0.50868486352357323</v>
      </c>
      <c r="AE61" s="3">
        <f t="shared" si="22"/>
        <v>0.64260424862313137</v>
      </c>
      <c r="AF61" s="3">
        <f t="shared" si="22"/>
        <v>0.73699999999999999</v>
      </c>
      <c r="AG61" s="3">
        <f t="shared" si="22"/>
        <v>0.83111954459203041</v>
      </c>
      <c r="AH61" s="3"/>
      <c r="AI61" s="3" t="e">
        <f t="shared" si="22"/>
        <v>#DIV/0!</v>
      </c>
      <c r="AJ61" s="6">
        <f t="shared" si="22"/>
        <v>0.56737775003285584</v>
      </c>
      <c r="AK61" s="3">
        <f t="shared" si="22"/>
        <v>0.57651912702067332</v>
      </c>
      <c r="AL61" s="3">
        <f t="shared" si="22"/>
        <v>0.53101386523960104</v>
      </c>
      <c r="AM61" s="3">
        <f t="shared" si="22"/>
        <v>0.62293323330832717</v>
      </c>
      <c r="AN61" s="3">
        <f t="shared" si="22"/>
        <v>0.57304741980474194</v>
      </c>
      <c r="AO61" s="3">
        <f t="shared" si="22"/>
        <v>0.56216333387731421</v>
      </c>
      <c r="AP61" s="3">
        <f t="shared" si="22"/>
        <v>0.68701612903225806</v>
      </c>
    </row>
    <row r="62" spans="1:42" x14ac:dyDescent="0.2">
      <c r="A62" s="20"/>
      <c r="B62" s="20"/>
      <c r="C62" s="20"/>
      <c r="D62" s="20">
        <v>1</v>
      </c>
      <c r="E62" s="20"/>
      <c r="F62" s="20">
        <v>1</v>
      </c>
      <c r="G62" s="20">
        <v>1</v>
      </c>
      <c r="H62" s="20">
        <v>1</v>
      </c>
      <c r="I62" s="20">
        <v>1</v>
      </c>
      <c r="J62" s="20">
        <v>1</v>
      </c>
      <c r="K62" s="20">
        <v>1</v>
      </c>
      <c r="L62" s="20"/>
      <c r="M62" s="20">
        <v>1</v>
      </c>
      <c r="N62" s="20">
        <v>1</v>
      </c>
      <c r="O62" s="20">
        <v>1</v>
      </c>
      <c r="P62" s="20"/>
      <c r="Q62" s="20">
        <v>1</v>
      </c>
      <c r="R62" s="20"/>
      <c r="S62" s="20">
        <v>1</v>
      </c>
      <c r="T62" s="20">
        <v>1</v>
      </c>
      <c r="U62" s="20">
        <v>1</v>
      </c>
      <c r="V62" s="20">
        <v>1</v>
      </c>
      <c r="W62" s="20">
        <v>1</v>
      </c>
      <c r="X62" s="20">
        <v>1</v>
      </c>
      <c r="Y62" s="20"/>
      <c r="Z62" s="20"/>
      <c r="AA62" s="20"/>
      <c r="AB62" s="20">
        <v>1</v>
      </c>
      <c r="AC62" s="20">
        <v>1</v>
      </c>
      <c r="AD62" s="20">
        <v>1</v>
      </c>
      <c r="AE62" s="20">
        <v>1</v>
      </c>
      <c r="AF62" s="20">
        <v>1</v>
      </c>
      <c r="AG62" s="20">
        <v>1</v>
      </c>
      <c r="AH62" s="20"/>
      <c r="AI62" s="20"/>
      <c r="AJ62" s="19">
        <f>SUM(D62:AI62)</f>
        <v>23</v>
      </c>
      <c r="AK62" s="20">
        <f>+AB62+R62+W62+AC62+AE62+AF62+T62</f>
        <v>6</v>
      </c>
      <c r="AL62" s="20">
        <f>+E62+G62+I62+J62+K62+N62+O62+Q62+S62+X62+F62</f>
        <v>10</v>
      </c>
      <c r="AM62" s="20">
        <f>+D62+H62+P62+Y62+AD62+AI62+AG62+C62+L62+M62+V62+U62+Z62+AA62</f>
        <v>7</v>
      </c>
      <c r="AN62" s="20">
        <f>+G62+I62+N62+Q62+V62+X62+AI62</f>
        <v>6</v>
      </c>
      <c r="AO62" s="20">
        <f>+B62+D62+E62+J62+K62+L62+M62+O62+P62+R62+S62+W62+Y62+AB62+AC62+AD62+AE62+AF62+AG62+T62+F62</f>
        <v>15</v>
      </c>
      <c r="AP62" s="20">
        <f>+AA62+Z62+U62+H62+C62</f>
        <v>2</v>
      </c>
    </row>
    <row r="63" spans="1:42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19"/>
      <c r="AK63" s="20"/>
      <c r="AL63" s="20"/>
      <c r="AM63" s="20"/>
      <c r="AN63" s="20"/>
      <c r="AO63" s="20"/>
      <c r="AP63" s="20"/>
    </row>
    <row r="64" spans="1:42" x14ac:dyDescent="0.2">
      <c r="A64" s="2" t="s">
        <v>63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"/>
      <c r="Z64" s="1"/>
      <c r="AA64" s="1"/>
      <c r="AB64" s="1"/>
      <c r="AC64" s="1"/>
      <c r="AD64" s="1"/>
      <c r="AE64" s="1"/>
      <c r="AF64" s="1"/>
      <c r="AJ64" s="5"/>
    </row>
    <row r="65" spans="1:42" x14ac:dyDescent="0.2">
      <c r="A65" t="s">
        <v>1</v>
      </c>
      <c r="C65">
        <f>28*30</f>
        <v>840</v>
      </c>
      <c r="D65">
        <v>1560</v>
      </c>
      <c r="G65">
        <v>2542</v>
      </c>
      <c r="H65">
        <v>420</v>
      </c>
      <c r="I65">
        <v>0</v>
      </c>
      <c r="J65">
        <v>1767</v>
      </c>
      <c r="K65">
        <v>1178</v>
      </c>
      <c r="M65">
        <v>434</v>
      </c>
      <c r="N65">
        <v>0</v>
      </c>
      <c r="O65">
        <v>1440</v>
      </c>
      <c r="P65">
        <v>0</v>
      </c>
      <c r="Q65">
        <v>2640</v>
      </c>
      <c r="S65">
        <v>3330</v>
      </c>
      <c r="T65">
        <v>6300</v>
      </c>
      <c r="U65">
        <f>46*30</f>
        <v>1380</v>
      </c>
      <c r="V65">
        <v>750</v>
      </c>
      <c r="W65">
        <v>14384</v>
      </c>
      <c r="X65">
        <v>1200</v>
      </c>
      <c r="AB65">
        <v>5280</v>
      </c>
      <c r="AC65">
        <v>5983</v>
      </c>
      <c r="AD65">
        <f>13*30</f>
        <v>390</v>
      </c>
      <c r="AE65">
        <v>5190</v>
      </c>
      <c r="AF65">
        <v>3720</v>
      </c>
      <c r="AG65">
        <v>1530</v>
      </c>
      <c r="AI65">
        <v>0</v>
      </c>
      <c r="AJ65" s="5">
        <f>SUM(C65:AG65)</f>
        <v>62258</v>
      </c>
      <c r="AK65">
        <f>+AB65+R65+W65+AC65+AE65+AF65+T65</f>
        <v>40857</v>
      </c>
      <c r="AL65">
        <f>+E65+G65+I65+J65+K65+N65+O65+Q65+S65+X65+F65</f>
        <v>14097</v>
      </c>
      <c r="AM65">
        <f>+D65+H65+P65+Y65+AD65+AI65+AG65+C65+L65+M65+V65+U65+Z65+AA65</f>
        <v>7304</v>
      </c>
      <c r="AN65">
        <f>+G65+I65+N65+Q65+V65+X65+AI65</f>
        <v>7132</v>
      </c>
      <c r="AO65">
        <f>+B65+D65+E65+J65+K65+L65+M65+O65+P65+R65+S65+W65+Y65+AB65+AC65+AD65+AE65+AF65+AG65+T65+F65</f>
        <v>52486</v>
      </c>
      <c r="AP65">
        <f>+AA65+Z65+U65+H65+C65</f>
        <v>2640</v>
      </c>
    </row>
    <row r="66" spans="1:42" x14ac:dyDescent="0.2">
      <c r="A66" t="s">
        <v>2</v>
      </c>
      <c r="C66">
        <f>+C65*0.21</f>
        <v>176.4</v>
      </c>
      <c r="D66">
        <v>397</v>
      </c>
      <c r="G66">
        <v>1012</v>
      </c>
      <c r="H66">
        <v>72</v>
      </c>
      <c r="I66">
        <v>0</v>
      </c>
      <c r="J66">
        <v>1361</v>
      </c>
      <c r="K66">
        <v>825</v>
      </c>
      <c r="M66">
        <v>17</v>
      </c>
      <c r="N66">
        <v>0</v>
      </c>
      <c r="O66">
        <v>320</v>
      </c>
      <c r="P66">
        <v>0</v>
      </c>
      <c r="Q66">
        <v>1588</v>
      </c>
      <c r="S66">
        <v>809</v>
      </c>
      <c r="T66">
        <f>+T65*0.39</f>
        <v>2457</v>
      </c>
      <c r="U66">
        <f>+U65*0.59</f>
        <v>814.19999999999993</v>
      </c>
      <c r="V66">
        <f>+V65*0.58</f>
        <v>434.99999999999994</v>
      </c>
      <c r="W66">
        <v>5012</v>
      </c>
      <c r="X66">
        <v>314</v>
      </c>
      <c r="AB66">
        <v>4276</v>
      </c>
      <c r="AC66">
        <f>+AC65*0.5982</f>
        <v>3579.0305999999996</v>
      </c>
      <c r="AD66">
        <v>93</v>
      </c>
      <c r="AE66">
        <v>2068</v>
      </c>
      <c r="AF66">
        <f>+AF65*0.544</f>
        <v>2023.68</v>
      </c>
      <c r="AG66">
        <v>1320</v>
      </c>
      <c r="AI66">
        <v>0</v>
      </c>
      <c r="AJ66" s="5">
        <f>SUM(C66:AG66)</f>
        <v>28969.310599999997</v>
      </c>
      <c r="AK66">
        <f>+AB66+R66+W66+AC66+AE66+AF66+T66</f>
        <v>19415.710599999999</v>
      </c>
      <c r="AL66">
        <f>+E66+G66+I66+J66+K66+N66+O66+Q66+S66+X66+F66</f>
        <v>6229</v>
      </c>
      <c r="AM66">
        <f>+D66+H66+P66+Y66+AD66+AI66+AG66+C66+L66+M66+V66+U66+Z66+AA66</f>
        <v>3324.6</v>
      </c>
      <c r="AN66">
        <f>+G66+I66+N66+Q66+V66+X66+AI66</f>
        <v>3349</v>
      </c>
      <c r="AO66">
        <f>+B66+D66+E66+J66+K66+L66+M66+O66+P66+R66+S66+W66+Y66+AB66+AC66+AD66+AE66+AF66+AG66+T66+F66</f>
        <v>24557.710599999999</v>
      </c>
      <c r="AP66">
        <f>+AA66+Z66+U66+H66+C66</f>
        <v>1062.5999999999999</v>
      </c>
    </row>
    <row r="67" spans="1:42" x14ac:dyDescent="0.2">
      <c r="A67" t="s">
        <v>4</v>
      </c>
      <c r="C67" s="3">
        <f>+C66/C65</f>
        <v>0.21000000000000002</v>
      </c>
      <c r="D67" s="3">
        <f>+D66/D65</f>
        <v>0.25448717948717947</v>
      </c>
      <c r="E67" s="3"/>
      <c r="F67" s="3" t="e">
        <f t="shared" ref="F67:K67" si="23">+F66/F65</f>
        <v>#DIV/0!</v>
      </c>
      <c r="G67" s="3">
        <f t="shared" si="23"/>
        <v>0.39811172305271442</v>
      </c>
      <c r="H67" s="3">
        <f t="shared" si="23"/>
        <v>0.17142857142857143</v>
      </c>
      <c r="I67" s="3">
        <v>0</v>
      </c>
      <c r="J67" s="3">
        <f t="shared" si="23"/>
        <v>0.77023203169213361</v>
      </c>
      <c r="K67" s="3">
        <f t="shared" si="23"/>
        <v>0.70033955857385399</v>
      </c>
      <c r="L67" s="3"/>
      <c r="M67" s="3">
        <f>+M66/M65</f>
        <v>3.9170506912442393E-2</v>
      </c>
      <c r="N67" s="3">
        <v>0</v>
      </c>
      <c r="O67" s="3">
        <f>+O66/O65</f>
        <v>0.22222222222222221</v>
      </c>
      <c r="P67" s="3">
        <v>0</v>
      </c>
      <c r="Q67" s="3">
        <f t="shared" ref="Q67:X67" si="24">+Q66/Q65</f>
        <v>0.60151515151515156</v>
      </c>
      <c r="R67" s="3" t="e">
        <f t="shared" si="24"/>
        <v>#DIV/0!</v>
      </c>
      <c r="S67" s="3">
        <f t="shared" si="24"/>
        <v>0.24294294294294294</v>
      </c>
      <c r="T67" s="3">
        <f t="shared" si="24"/>
        <v>0.39</v>
      </c>
      <c r="U67" s="3">
        <f t="shared" si="24"/>
        <v>0.59</v>
      </c>
      <c r="V67" s="3">
        <f t="shared" si="24"/>
        <v>0.57999999999999996</v>
      </c>
      <c r="W67" s="3">
        <f t="shared" si="24"/>
        <v>0.34844271412680755</v>
      </c>
      <c r="X67" s="3">
        <f t="shared" si="24"/>
        <v>0.26166666666666666</v>
      </c>
      <c r="Y67" s="3">
        <v>0</v>
      </c>
      <c r="Z67" s="3"/>
      <c r="AA67" s="3">
        <v>0</v>
      </c>
      <c r="AB67" s="3">
        <f t="shared" ref="AB67:AP67" si="25">+AB66/AB65</f>
        <v>0.80984848484848482</v>
      </c>
      <c r="AC67" s="3">
        <f t="shared" si="25"/>
        <v>0.59819999999999995</v>
      </c>
      <c r="AD67" s="3">
        <f t="shared" si="25"/>
        <v>0.23846153846153847</v>
      </c>
      <c r="AE67" s="3">
        <f t="shared" si="25"/>
        <v>0.39845857418111752</v>
      </c>
      <c r="AF67" s="3">
        <f t="shared" si="25"/>
        <v>0.54400000000000004</v>
      </c>
      <c r="AG67" s="3">
        <f t="shared" si="25"/>
        <v>0.86274509803921573</v>
      </c>
      <c r="AH67" s="3"/>
      <c r="AI67" s="3">
        <v>0</v>
      </c>
      <c r="AJ67" s="6">
        <f t="shared" si="25"/>
        <v>0.4653106524462719</v>
      </c>
      <c r="AK67" s="3">
        <f t="shared" si="25"/>
        <v>0.47521136157818727</v>
      </c>
      <c r="AL67" s="3">
        <f t="shared" si="25"/>
        <v>0.44186706391430802</v>
      </c>
      <c r="AM67" s="3">
        <f t="shared" si="25"/>
        <v>0.45517524644030666</v>
      </c>
      <c r="AN67" s="3">
        <f t="shared" si="25"/>
        <v>0.46957375210319685</v>
      </c>
      <c r="AO67" s="3">
        <f t="shared" si="25"/>
        <v>0.46789068704035358</v>
      </c>
      <c r="AP67" s="3">
        <f t="shared" si="25"/>
        <v>0.40249999999999997</v>
      </c>
    </row>
    <row r="68" spans="1:42" x14ac:dyDescent="0.2">
      <c r="A68" s="20"/>
      <c r="B68" s="20"/>
      <c r="C68" s="20">
        <v>1</v>
      </c>
      <c r="D68" s="20">
        <v>1</v>
      </c>
      <c r="E68" s="20"/>
      <c r="F68" s="20"/>
      <c r="G68" s="20">
        <v>1</v>
      </c>
      <c r="H68" s="20">
        <v>1</v>
      </c>
      <c r="I68" s="20"/>
      <c r="J68" s="20">
        <v>1</v>
      </c>
      <c r="K68" s="20">
        <v>1</v>
      </c>
      <c r="L68" s="20"/>
      <c r="M68" s="20">
        <v>1</v>
      </c>
      <c r="N68" s="20"/>
      <c r="O68" s="20">
        <v>1</v>
      </c>
      <c r="P68" s="20"/>
      <c r="Q68" s="20">
        <v>1</v>
      </c>
      <c r="R68" s="20"/>
      <c r="S68" s="20">
        <v>1</v>
      </c>
      <c r="T68" s="20">
        <v>1</v>
      </c>
      <c r="U68" s="20">
        <v>1</v>
      </c>
      <c r="V68" s="20">
        <v>1</v>
      </c>
      <c r="W68" s="20">
        <v>1</v>
      </c>
      <c r="X68" s="20">
        <v>1</v>
      </c>
      <c r="Y68" s="20"/>
      <c r="Z68" s="20"/>
      <c r="AA68" s="20"/>
      <c r="AB68" s="20">
        <v>1</v>
      </c>
      <c r="AC68" s="20">
        <v>1</v>
      </c>
      <c r="AD68" s="20">
        <v>1</v>
      </c>
      <c r="AE68" s="20">
        <v>1</v>
      </c>
      <c r="AF68" s="20">
        <v>1</v>
      </c>
      <c r="AG68" s="20">
        <v>1</v>
      </c>
      <c r="AH68" s="20"/>
      <c r="AI68" s="20"/>
      <c r="AJ68" s="19">
        <f>SUM(C68:AG68)</f>
        <v>21</v>
      </c>
      <c r="AK68" s="20">
        <f>+AB68+R68+W68+AC68+AE68+AF68+T68</f>
        <v>6</v>
      </c>
      <c r="AL68" s="20">
        <f>+E68+G68+I68+J68+K68+N68+O68+Q68+S68+X68+F68</f>
        <v>7</v>
      </c>
      <c r="AM68" s="20">
        <f>+D68+H68+P68+Y68+AD68+AI68+AG68+C68+L68+M68+V68+U68+Z68+AA68</f>
        <v>8</v>
      </c>
      <c r="AN68" s="20">
        <f>+G68+I68+N68+Q68+V68+X68+AI68</f>
        <v>4</v>
      </c>
      <c r="AO68" s="20">
        <f>+B68+D68+E68+J68+K68+L68+M68+O68+P68+R68+S68+W68+Y68+AB68+AC68+AD68+AE68+AF68+AG68+T68+F68</f>
        <v>14</v>
      </c>
      <c r="AP68" s="20">
        <f>+AA68+Z68+U68+H68+C68</f>
        <v>3</v>
      </c>
    </row>
    <row r="69" spans="1:42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19"/>
      <c r="AK69" s="20"/>
      <c r="AL69" s="20"/>
      <c r="AM69" s="20"/>
      <c r="AN69" s="20"/>
      <c r="AO69" s="20"/>
      <c r="AP69" s="20"/>
    </row>
    <row r="70" spans="1:42" x14ac:dyDescent="0.2">
      <c r="A70" s="2" t="s">
        <v>64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"/>
      <c r="Z70" s="1"/>
      <c r="AA70" s="1"/>
      <c r="AB70" s="1"/>
      <c r="AC70" s="1"/>
      <c r="AD70" s="1"/>
      <c r="AE70" s="1"/>
      <c r="AF70" s="1"/>
      <c r="AJ70" s="5"/>
    </row>
    <row r="71" spans="1:42" x14ac:dyDescent="0.2">
      <c r="A71" t="s">
        <v>1</v>
      </c>
      <c r="D71">
        <v>1612</v>
      </c>
      <c r="F71">
        <v>1984</v>
      </c>
      <c r="G71">
        <v>2542</v>
      </c>
      <c r="H71">
        <v>434</v>
      </c>
      <c r="I71">
        <v>1558</v>
      </c>
      <c r="J71">
        <v>1767</v>
      </c>
      <c r="K71">
        <v>1178</v>
      </c>
      <c r="M71">
        <v>434</v>
      </c>
      <c r="O71">
        <v>1178</v>
      </c>
      <c r="Q71">
        <v>2387</v>
      </c>
      <c r="S71">
        <v>3441</v>
      </c>
      <c r="T71">
        <v>6510</v>
      </c>
      <c r="U71">
        <v>1426</v>
      </c>
      <c r="V71">
        <v>775</v>
      </c>
      <c r="W71">
        <v>14384</v>
      </c>
      <c r="X71">
        <v>1240</v>
      </c>
      <c r="AB71">
        <v>5456</v>
      </c>
      <c r="AC71">
        <f>373*31</f>
        <v>11563</v>
      </c>
      <c r="AD71">
        <v>403</v>
      </c>
      <c r="AE71">
        <v>5208</v>
      </c>
      <c r="AF71">
        <v>3844</v>
      </c>
      <c r="AG71">
        <v>1581</v>
      </c>
      <c r="AH71">
        <v>968</v>
      </c>
      <c r="AJ71" s="5">
        <f>SUM(C71:AG71)</f>
        <v>70905</v>
      </c>
      <c r="AK71">
        <f>+AB71+R71+W71+AC71+AE71+AF71+T71</f>
        <v>46965</v>
      </c>
      <c r="AL71">
        <f>+E71+G71+I71+J71+K71+N71+O71+Q71+S71+X71+F71+AH71</f>
        <v>18243</v>
      </c>
      <c r="AM71">
        <f>+D71+H71+P71+Y71+AD71+AI71+AG71+C71+L71+M71+V71+U71+Z71+AA71</f>
        <v>6665</v>
      </c>
      <c r="AN71">
        <f>+G71+I71+N71+Q71+V71+X71+AI71</f>
        <v>8502</v>
      </c>
      <c r="AO71">
        <f>+B71+D71+E71+J71+K71+L71+M71+O71+P71+R71+S71+W71+Y71+AB71+AC71+AD71+AE71+AF71+AG71+T71+F71</f>
        <v>60543</v>
      </c>
      <c r="AP71">
        <f>+AA71+Z71+U71+H71+C71</f>
        <v>1860</v>
      </c>
    </row>
    <row r="72" spans="1:42" x14ac:dyDescent="0.2">
      <c r="A72" t="s">
        <v>2</v>
      </c>
      <c r="D72">
        <v>443</v>
      </c>
      <c r="F72">
        <f>+F71*0.413</f>
        <v>819.39199999999994</v>
      </c>
      <c r="G72">
        <f>+G71*0.781</f>
        <v>1985.3020000000001</v>
      </c>
      <c r="H72">
        <v>182</v>
      </c>
      <c r="I72">
        <v>1136</v>
      </c>
      <c r="J72">
        <f>+J71*0.84</f>
        <v>1484.28</v>
      </c>
      <c r="K72">
        <f>+K71*0.74</f>
        <v>871.72</v>
      </c>
      <c r="M72">
        <v>34</v>
      </c>
      <c r="O72">
        <v>440</v>
      </c>
      <c r="Q72">
        <f>Q71*0.67</f>
        <v>1599.2900000000002</v>
      </c>
      <c r="S72">
        <f>+S71*0.313</f>
        <v>1077.0329999999999</v>
      </c>
      <c r="T72">
        <f>+T71*0.417</f>
        <v>2714.67</v>
      </c>
      <c r="U72">
        <f>+U71*0.726</f>
        <v>1035.2760000000001</v>
      </c>
      <c r="V72">
        <f>+V71*0.81</f>
        <v>627.75</v>
      </c>
      <c r="W72">
        <v>6695</v>
      </c>
      <c r="X72">
        <v>704</v>
      </c>
      <c r="AB72">
        <f>+AB71*0.459</f>
        <v>2504.3040000000001</v>
      </c>
      <c r="AC72">
        <f>+AC71*0.6207</f>
        <v>7177.1541000000007</v>
      </c>
      <c r="AD72">
        <v>140</v>
      </c>
      <c r="AE72">
        <v>3841</v>
      </c>
      <c r="AF72">
        <f>+AF71*0.75</f>
        <v>2883</v>
      </c>
      <c r="AG72">
        <v>1346</v>
      </c>
      <c r="AH72">
        <v>708</v>
      </c>
      <c r="AJ72" s="5">
        <f>SUM(C72:AG72)</f>
        <v>39740.1711</v>
      </c>
      <c r="AK72">
        <f>+AB72+R72+W72+AC72+AE72+AF72+T72</f>
        <v>25815.128100000002</v>
      </c>
      <c r="AL72">
        <f>+E72+G72+I72+J72+K72+N72+O72+Q72+S72+X72+F72+AH72</f>
        <v>10825.017</v>
      </c>
      <c r="AM72">
        <f>+D72+H72+P72+Y72+AD72+AI72+AG72+C72+L72+M72+V72+U72+Z72+AA72</f>
        <v>3808.0259999999998</v>
      </c>
      <c r="AN72">
        <f>+G72+I72+N72+Q72+V72+X72+AI72</f>
        <v>6052.3420000000006</v>
      </c>
      <c r="AO72">
        <f>+B72+D72+E72+J72+K72+L72+M72+O72+P72+R72+S72+W72+Y72+AB72+AC72+AD72+AE72+AF72+AG72+T72+F72</f>
        <v>32470.553099999997</v>
      </c>
      <c r="AP72">
        <f>+AA72+Z72+U72+H72+C72</f>
        <v>1217.2760000000001</v>
      </c>
    </row>
    <row r="73" spans="1:42" x14ac:dyDescent="0.2">
      <c r="A73" t="s">
        <v>4</v>
      </c>
      <c r="C73" s="3" t="e">
        <f>+C72/C71</f>
        <v>#DIV/0!</v>
      </c>
      <c r="D73" s="3">
        <f>+D72/D71</f>
        <v>0.27481389578163773</v>
      </c>
      <c r="E73" s="3"/>
      <c r="F73" s="3">
        <f t="shared" ref="F73:K73" si="26">+F72/F71</f>
        <v>0.41299999999999998</v>
      </c>
      <c r="G73" s="3">
        <f t="shared" si="26"/>
        <v>0.78100000000000003</v>
      </c>
      <c r="H73" s="3">
        <f t="shared" si="26"/>
        <v>0.41935483870967744</v>
      </c>
      <c r="I73" s="3">
        <f t="shared" si="26"/>
        <v>0.7291399229781772</v>
      </c>
      <c r="J73" s="3">
        <f t="shared" si="26"/>
        <v>0.84</v>
      </c>
      <c r="K73" s="3">
        <f t="shared" si="26"/>
        <v>0.74</v>
      </c>
      <c r="L73" s="3"/>
      <c r="M73" s="3">
        <f>+M72/M71</f>
        <v>7.8341013824884786E-2</v>
      </c>
      <c r="N73" s="3">
        <v>0</v>
      </c>
      <c r="O73" s="3">
        <f>+O72/O71</f>
        <v>0.37351443123938882</v>
      </c>
      <c r="P73" s="3">
        <v>0</v>
      </c>
      <c r="Q73" s="3">
        <f t="shared" ref="Q73:X73" si="27">+Q72/Q71</f>
        <v>0.67</v>
      </c>
      <c r="R73" s="3" t="e">
        <f t="shared" si="27"/>
        <v>#DIV/0!</v>
      </c>
      <c r="S73" s="3">
        <f t="shared" si="27"/>
        <v>0.31299999999999994</v>
      </c>
      <c r="T73" s="3">
        <f t="shared" si="27"/>
        <v>0.41700000000000004</v>
      </c>
      <c r="U73" s="3">
        <f t="shared" si="27"/>
        <v>0.72600000000000009</v>
      </c>
      <c r="V73" s="3">
        <f t="shared" si="27"/>
        <v>0.81</v>
      </c>
      <c r="W73" s="3">
        <f t="shared" si="27"/>
        <v>0.46544771968854282</v>
      </c>
      <c r="X73" s="3">
        <f t="shared" si="27"/>
        <v>0.56774193548387097</v>
      </c>
      <c r="Y73" s="3">
        <v>0</v>
      </c>
      <c r="Z73" s="3"/>
      <c r="AA73" s="3">
        <v>0</v>
      </c>
      <c r="AB73" s="3">
        <f t="shared" ref="AB73:AH73" si="28">+AB72/AB71</f>
        <v>0.45900000000000002</v>
      </c>
      <c r="AC73" s="3">
        <f t="shared" si="28"/>
        <v>0.62070000000000003</v>
      </c>
      <c r="AD73" s="3">
        <f t="shared" si="28"/>
        <v>0.34739454094292804</v>
      </c>
      <c r="AE73" s="3">
        <f t="shared" si="28"/>
        <v>0.7375192012288786</v>
      </c>
      <c r="AF73" s="3">
        <f t="shared" si="28"/>
        <v>0.75</v>
      </c>
      <c r="AG73" s="3">
        <f t="shared" si="28"/>
        <v>0.85135989879822893</v>
      </c>
      <c r="AH73" s="3">
        <f t="shared" si="28"/>
        <v>0.73140495867768596</v>
      </c>
      <c r="AI73" s="3">
        <v>0</v>
      </c>
      <c r="AJ73" s="6">
        <f t="shared" ref="AJ73:AP73" si="29">+AJ72/AJ71</f>
        <v>0.56047064522953249</v>
      </c>
      <c r="AK73" s="3">
        <f t="shared" si="29"/>
        <v>0.5496673714468221</v>
      </c>
      <c r="AL73" s="3">
        <f t="shared" si="29"/>
        <v>0.59337921394507487</v>
      </c>
      <c r="AM73" s="3">
        <f t="shared" si="29"/>
        <v>0.57134673668417102</v>
      </c>
      <c r="AN73" s="3">
        <f t="shared" si="29"/>
        <v>0.71187273582686428</v>
      </c>
      <c r="AO73" s="3">
        <f t="shared" si="29"/>
        <v>0.53632216936722654</v>
      </c>
      <c r="AP73" s="3">
        <f t="shared" si="29"/>
        <v>0.65444946236559143</v>
      </c>
    </row>
    <row r="74" spans="1:42" x14ac:dyDescent="0.2">
      <c r="A74" s="20"/>
      <c r="B74" s="20"/>
      <c r="C74" s="20"/>
      <c r="D74" s="20">
        <v>1</v>
      </c>
      <c r="E74" s="20"/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20"/>
      <c r="M74" s="20">
        <v>1</v>
      </c>
      <c r="N74" s="20"/>
      <c r="O74" s="20">
        <v>1</v>
      </c>
      <c r="P74" s="20"/>
      <c r="Q74" s="20">
        <v>1</v>
      </c>
      <c r="R74" s="20"/>
      <c r="S74" s="20">
        <v>1</v>
      </c>
      <c r="T74" s="20">
        <v>1</v>
      </c>
      <c r="U74" s="20">
        <v>1</v>
      </c>
      <c r="V74" s="20">
        <v>1</v>
      </c>
      <c r="W74" s="20">
        <v>1</v>
      </c>
      <c r="X74" s="20">
        <v>1</v>
      </c>
      <c r="Y74" s="20"/>
      <c r="Z74" s="20"/>
      <c r="AA74" s="20"/>
      <c r="AB74" s="20">
        <v>1</v>
      </c>
      <c r="AC74" s="20">
        <v>1</v>
      </c>
      <c r="AD74" s="20">
        <v>1</v>
      </c>
      <c r="AE74" s="20">
        <v>1</v>
      </c>
      <c r="AF74" s="20">
        <v>1</v>
      </c>
      <c r="AG74" s="20">
        <v>1</v>
      </c>
      <c r="AH74" s="20">
        <v>1</v>
      </c>
      <c r="AI74" s="20"/>
      <c r="AJ74" s="19">
        <f>SUM(C74:AH74)</f>
        <v>23</v>
      </c>
      <c r="AK74" s="20">
        <f>+AB74+R74+W74+AC74+AE74+AF74+T74</f>
        <v>6</v>
      </c>
      <c r="AL74" s="20">
        <f>+E74+G74+I74+J74+K74+N74+O74+Q74+S74+X74+F74+AH74</f>
        <v>10</v>
      </c>
      <c r="AM74" s="20">
        <f>+D74+H74+P74+Y74+AD74+AI74+AG74+C74+L74+M74+V74+U74+Z74+AA74</f>
        <v>7</v>
      </c>
      <c r="AN74" s="20">
        <f>+G74+I74+N74+Q74+V74+X74+AI74</f>
        <v>5</v>
      </c>
      <c r="AO74" s="20">
        <f>+B74+D74+E74+J74+K74+L74+M74+O74+P74+R74+S74+W74+Y74+AB74+AC74+AD74+AE74+AF74+AG74+T74+F74+AH74</f>
        <v>16</v>
      </c>
      <c r="AP74" s="20">
        <f>+AA74+Z74+U74+H74+C74</f>
        <v>2</v>
      </c>
    </row>
    <row r="75" spans="1:42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19"/>
      <c r="AK75" s="20"/>
      <c r="AL75" s="20"/>
      <c r="AM75" s="20"/>
      <c r="AN75" s="20"/>
      <c r="AO75" s="20"/>
      <c r="AP75" s="20"/>
    </row>
    <row r="76" spans="1:42" x14ac:dyDescent="0.2">
      <c r="A76" s="2" t="s">
        <v>3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"/>
      <c r="Z76" s="1"/>
      <c r="AA76" s="1"/>
      <c r="AB76" s="1"/>
      <c r="AC76" s="1"/>
      <c r="AD76" s="1"/>
      <c r="AE76" s="1"/>
      <c r="AF76" s="1"/>
      <c r="AJ76" s="5"/>
    </row>
    <row r="77" spans="1:42" x14ac:dyDescent="0.2">
      <c r="A77" t="s">
        <v>1</v>
      </c>
      <c r="D77">
        <v>1590</v>
      </c>
      <c r="F77">
        <v>1920</v>
      </c>
      <c r="G77">
        <f>82*30</f>
        <v>2460</v>
      </c>
      <c r="H77">
        <v>420</v>
      </c>
      <c r="I77">
        <v>2640</v>
      </c>
      <c r="J77">
        <v>1767</v>
      </c>
      <c r="K77">
        <v>1178</v>
      </c>
      <c r="M77">
        <v>420</v>
      </c>
      <c r="N77">
        <v>2088</v>
      </c>
      <c r="O77">
        <v>840</v>
      </c>
      <c r="Q77">
        <v>2640</v>
      </c>
      <c r="S77">
        <v>3330</v>
      </c>
      <c r="T77">
        <v>6300</v>
      </c>
      <c r="U77">
        <v>1380</v>
      </c>
      <c r="V77">
        <v>750</v>
      </c>
      <c r="W77">
        <v>13920</v>
      </c>
      <c r="X77">
        <v>1200</v>
      </c>
      <c r="Y77">
        <v>600</v>
      </c>
      <c r="AB77">
        <v>5280</v>
      </c>
      <c r="AC77">
        <f>373*30</f>
        <v>11190</v>
      </c>
      <c r="AD77">
        <v>390</v>
      </c>
      <c r="AE77">
        <v>5040</v>
      </c>
      <c r="AG77">
        <v>1530</v>
      </c>
      <c r="AH77">
        <v>2820</v>
      </c>
      <c r="AI77">
        <v>938</v>
      </c>
      <c r="AJ77" s="5">
        <f>SUM(C77:AG77)</f>
        <v>68873</v>
      </c>
      <c r="AK77">
        <f>+AB77+R77+W77+AC77+AE77+AF77+T77</f>
        <v>41730</v>
      </c>
      <c r="AL77">
        <f>+E77+G77+I77+J77+K77+N77+O77+Q77+S77+X77+F77+AH77</f>
        <v>22883</v>
      </c>
      <c r="AM77">
        <f>+D77+H77+P77+Y77+AD77+AI77+AG77+C77+L77+M77+V77+U77+Z77+AA77</f>
        <v>8018</v>
      </c>
      <c r="AN77">
        <f>+G77+I77+N77+Q77+V77+X77+AI77</f>
        <v>12716</v>
      </c>
      <c r="AO77">
        <f>+B77+D77+E77+J77+K77+L77+M77+O77+P77+R77+S77+W77+Y77+AB77+AC77+AD77+AE77+AF77+AG77+T77+F77</f>
        <v>55295</v>
      </c>
      <c r="AP77">
        <f>+AA77+Z77+U77+H77+C77</f>
        <v>1800</v>
      </c>
    </row>
    <row r="78" spans="1:42" x14ac:dyDescent="0.2">
      <c r="A78" t="s">
        <v>2</v>
      </c>
      <c r="D78">
        <v>768</v>
      </c>
      <c r="F78">
        <f>+F77*0.488</f>
        <v>936.96</v>
      </c>
      <c r="G78">
        <v>2128</v>
      </c>
      <c r="H78">
        <v>186</v>
      </c>
      <c r="I78">
        <v>1753</v>
      </c>
      <c r="J78">
        <f>+J77*0.92</f>
        <v>1625.64</v>
      </c>
      <c r="K78">
        <f>+K77*0.93</f>
        <v>1095.54</v>
      </c>
      <c r="M78">
        <v>38</v>
      </c>
      <c r="N78">
        <v>1067</v>
      </c>
      <c r="O78">
        <v>457</v>
      </c>
      <c r="Q78">
        <v>2416</v>
      </c>
      <c r="S78">
        <f>+S77*0.608</f>
        <v>2024.6399999999999</v>
      </c>
      <c r="T78">
        <f>+T77*0.45</f>
        <v>2835</v>
      </c>
      <c r="U78">
        <f>+U77*0.707</f>
        <v>975.66</v>
      </c>
      <c r="V78">
        <f>+V77*0.89</f>
        <v>667.5</v>
      </c>
      <c r="W78">
        <v>9029</v>
      </c>
      <c r="X78">
        <v>922</v>
      </c>
      <c r="Y78">
        <v>50</v>
      </c>
      <c r="AB78">
        <f>+AB77*0.75</f>
        <v>3960</v>
      </c>
      <c r="AC78">
        <v>8936</v>
      </c>
      <c r="AD78">
        <v>264</v>
      </c>
      <c r="AE78">
        <v>4043</v>
      </c>
      <c r="AG78">
        <v>1466</v>
      </c>
      <c r="AH78">
        <v>2477</v>
      </c>
      <c r="AI78">
        <v>264</v>
      </c>
      <c r="AJ78" s="5">
        <f>SUM(C78:AI78)</f>
        <v>50384.94</v>
      </c>
      <c r="AK78">
        <f>+AB78+R78+W78+AC78+AE78+AF78+T78</f>
        <v>28803</v>
      </c>
      <c r="AL78">
        <f>+E78+G78+I78+J78+K78+N78+O78+Q78+S78+X78+F78+AH78</f>
        <v>16902.78</v>
      </c>
      <c r="AM78">
        <f>+D78+H78+P78+Y78+AD78+AI78+AG78+C78+L78+M78+V78+U78+Z78+AA78</f>
        <v>4679.16</v>
      </c>
      <c r="AN78">
        <f>+G78+I78+N78+Q78+V78+X78+AI78</f>
        <v>9217.5</v>
      </c>
      <c r="AO78">
        <f>+B78+D78+E78+J78+K78+L78+M78+O78+P78+R78+S78+W78+Y78+AB78+AC78+AD78+AE78+AF78+AG78+T78+F78</f>
        <v>37528.78</v>
      </c>
      <c r="AP78">
        <f>+AA78+Z78+U78+H78+C78</f>
        <v>1161.6599999999999</v>
      </c>
    </row>
    <row r="79" spans="1:42" x14ac:dyDescent="0.2">
      <c r="A79" t="s">
        <v>4</v>
      </c>
      <c r="C79" s="3" t="e">
        <f>+C78/C77</f>
        <v>#DIV/0!</v>
      </c>
      <c r="D79" s="3">
        <f>+D78/D77</f>
        <v>0.48301886792452831</v>
      </c>
      <c r="E79" s="3"/>
      <c r="F79" s="3">
        <f t="shared" ref="F79:K79" si="30">+F78/F77</f>
        <v>0.48800000000000004</v>
      </c>
      <c r="G79" s="3">
        <f t="shared" si="30"/>
        <v>0.86504065040650402</v>
      </c>
      <c r="H79" s="3">
        <f t="shared" si="30"/>
        <v>0.44285714285714284</v>
      </c>
      <c r="I79" s="3">
        <f t="shared" si="30"/>
        <v>0.66401515151515156</v>
      </c>
      <c r="J79" s="3">
        <f t="shared" si="30"/>
        <v>0.92</v>
      </c>
      <c r="K79" s="3">
        <f t="shared" si="30"/>
        <v>0.92999999999999994</v>
      </c>
      <c r="L79" s="3"/>
      <c r="M79" s="3">
        <f>+M78/M77</f>
        <v>9.0476190476190474E-2</v>
      </c>
      <c r="N79" s="3">
        <f>+N78/N77</f>
        <v>0.51101532567049812</v>
      </c>
      <c r="O79" s="3">
        <f>+O78/O77</f>
        <v>0.544047619047619</v>
      </c>
      <c r="P79" s="3">
        <v>0</v>
      </c>
      <c r="Q79" s="3">
        <f t="shared" ref="Q79:Y79" si="31">+Q78/Q77</f>
        <v>0.91515151515151516</v>
      </c>
      <c r="R79" s="3" t="e">
        <f t="shared" si="31"/>
        <v>#DIV/0!</v>
      </c>
      <c r="S79" s="3">
        <f t="shared" si="31"/>
        <v>0.60799999999999998</v>
      </c>
      <c r="T79" s="3">
        <f t="shared" si="31"/>
        <v>0.45</v>
      </c>
      <c r="U79" s="3">
        <f t="shared" si="31"/>
        <v>0.70699999999999996</v>
      </c>
      <c r="V79" s="3">
        <f t="shared" si="31"/>
        <v>0.89</v>
      </c>
      <c r="W79" s="3">
        <f t="shared" si="31"/>
        <v>0.64863505747126438</v>
      </c>
      <c r="X79" s="3">
        <f t="shared" si="31"/>
        <v>0.76833333333333331</v>
      </c>
      <c r="Y79" s="3">
        <f t="shared" si="31"/>
        <v>8.3333333333333329E-2</v>
      </c>
      <c r="Z79" s="3"/>
      <c r="AA79" s="3">
        <v>0</v>
      </c>
      <c r="AB79" s="3">
        <f t="shared" ref="AB79:AI79" si="32">+AB78/AB77</f>
        <v>0.75</v>
      </c>
      <c r="AC79" s="3">
        <f t="shared" si="32"/>
        <v>0.79857015192135838</v>
      </c>
      <c r="AD79" s="3">
        <f t="shared" si="32"/>
        <v>0.67692307692307696</v>
      </c>
      <c r="AE79" s="3">
        <f t="shared" si="32"/>
        <v>0.80218253968253972</v>
      </c>
      <c r="AF79" s="3" t="e">
        <f t="shared" si="32"/>
        <v>#DIV/0!</v>
      </c>
      <c r="AG79" s="3">
        <f t="shared" si="32"/>
        <v>0.95816993464052291</v>
      </c>
      <c r="AH79" s="3">
        <f t="shared" si="32"/>
        <v>0.87836879432624115</v>
      </c>
      <c r="AI79" s="3">
        <f t="shared" si="32"/>
        <v>0.28144989339019189</v>
      </c>
      <c r="AJ79" s="6">
        <f t="shared" ref="AJ79:AP79" si="33">+AJ78/AJ77</f>
        <v>0.73156302179373633</v>
      </c>
      <c r="AK79" s="3">
        <f t="shared" si="33"/>
        <v>0.6902228612508986</v>
      </c>
      <c r="AL79" s="3">
        <f t="shared" si="33"/>
        <v>0.73866101472708989</v>
      </c>
      <c r="AM79" s="3">
        <f t="shared" si="33"/>
        <v>0.58358194063357449</v>
      </c>
      <c r="AN79" s="3">
        <f t="shared" si="33"/>
        <v>0.72487417426863798</v>
      </c>
      <c r="AO79" s="3">
        <f t="shared" si="33"/>
        <v>0.67870114838592999</v>
      </c>
      <c r="AP79" s="3">
        <f t="shared" si="33"/>
        <v>0.64536666666666653</v>
      </c>
    </row>
    <row r="80" spans="1:42" x14ac:dyDescent="0.2">
      <c r="A80" s="20"/>
      <c r="B80" s="20"/>
      <c r="C80" s="20"/>
      <c r="D80" s="20">
        <v>1</v>
      </c>
      <c r="E80" s="20"/>
      <c r="F80" s="20">
        <v>1</v>
      </c>
      <c r="G80" s="20">
        <v>1</v>
      </c>
      <c r="H80" s="20">
        <v>1</v>
      </c>
      <c r="I80" s="20">
        <v>1</v>
      </c>
      <c r="J80" s="20">
        <v>1</v>
      </c>
      <c r="K80" s="20">
        <v>1</v>
      </c>
      <c r="L80" s="20"/>
      <c r="M80" s="20">
        <v>1</v>
      </c>
      <c r="N80" s="20">
        <v>1</v>
      </c>
      <c r="O80" s="20">
        <v>1</v>
      </c>
      <c r="P80" s="20"/>
      <c r="Q80" s="20">
        <v>1</v>
      </c>
      <c r="R80" s="20"/>
      <c r="S80" s="20">
        <v>1</v>
      </c>
      <c r="T80" s="20">
        <v>1</v>
      </c>
      <c r="U80" s="20">
        <v>1</v>
      </c>
      <c r="V80" s="20">
        <v>1</v>
      </c>
      <c r="W80" s="20">
        <v>1</v>
      </c>
      <c r="X80" s="20">
        <v>1</v>
      </c>
      <c r="Y80" s="20">
        <v>1</v>
      </c>
      <c r="Z80" s="20"/>
      <c r="AA80" s="20"/>
      <c r="AB80" s="20">
        <v>1</v>
      </c>
      <c r="AC80" s="20">
        <v>1</v>
      </c>
      <c r="AD80" s="20">
        <v>1</v>
      </c>
      <c r="AE80" s="20">
        <v>1</v>
      </c>
      <c r="AF80" s="20"/>
      <c r="AG80" s="20">
        <v>1</v>
      </c>
      <c r="AH80" s="20">
        <v>1</v>
      </c>
      <c r="AI80" s="20">
        <v>1</v>
      </c>
      <c r="AJ80" s="19">
        <f>SUM(C80:AI80)</f>
        <v>25</v>
      </c>
      <c r="AK80" s="20">
        <f>+AB80+R80+W80+AC80+AE80+AF80+T80</f>
        <v>5</v>
      </c>
      <c r="AL80" s="20">
        <f>+E80+G80+I80+J80+K80+N80+O80+Q80+S80+X80+F80+AH80</f>
        <v>11</v>
      </c>
      <c r="AM80" s="20">
        <f>+D80+H80+P80+Y80+AD80+AI80+AG80+C80+L80+M80+V80+U80+Z80+AA80</f>
        <v>9</v>
      </c>
      <c r="AN80" s="20">
        <f>+G80+I80+N80+Q80+V80+X80+AI80</f>
        <v>7</v>
      </c>
      <c r="AO80" s="20">
        <f>+B80+D80+E80+J80+K80+L80+M80+O80+P80+R80+S80+W80+Y80+AB80+AC80+AD80+AE80+AF80+AG80+T80+F80+AH80</f>
        <v>16</v>
      </c>
      <c r="AP80" s="20">
        <f>+AA80+Z80+U80+H80+C80</f>
        <v>2</v>
      </c>
    </row>
    <row r="81" spans="1:42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19"/>
      <c r="AK81" s="20"/>
      <c r="AL81" s="20"/>
      <c r="AM81" s="20"/>
      <c r="AN81" s="20"/>
      <c r="AO81" s="20"/>
      <c r="AP81" s="20"/>
    </row>
    <row r="82" spans="1:42" x14ac:dyDescent="0.2">
      <c r="A82" s="2" t="s">
        <v>42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"/>
      <c r="Z82" s="1"/>
      <c r="AA82" s="1"/>
      <c r="AB82" s="1"/>
      <c r="AC82" s="1"/>
      <c r="AD82" s="1"/>
      <c r="AE82" s="1"/>
      <c r="AF82" s="1"/>
      <c r="AJ82" s="5"/>
    </row>
    <row r="83" spans="1:42" x14ac:dyDescent="0.2">
      <c r="A83" t="s">
        <v>1</v>
      </c>
      <c r="D83">
        <v>1643</v>
      </c>
      <c r="F83">
        <v>1984</v>
      </c>
      <c r="G83">
        <v>2542</v>
      </c>
      <c r="H83">
        <v>434</v>
      </c>
      <c r="I83">
        <v>2728</v>
      </c>
      <c r="J83">
        <v>1767</v>
      </c>
      <c r="K83">
        <v>1178</v>
      </c>
      <c r="M83">
        <v>434</v>
      </c>
      <c r="N83">
        <f>72*31</f>
        <v>2232</v>
      </c>
      <c r="O83">
        <v>420</v>
      </c>
      <c r="P83">
        <v>651</v>
      </c>
      <c r="Q83">
        <v>2852</v>
      </c>
      <c r="S83">
        <v>3441</v>
      </c>
      <c r="T83">
        <v>6510</v>
      </c>
      <c r="U83">
        <v>1426</v>
      </c>
      <c r="V83">
        <v>775</v>
      </c>
      <c r="W83">
        <v>14384</v>
      </c>
      <c r="X83">
        <v>1240</v>
      </c>
      <c r="Y83">
        <v>775</v>
      </c>
      <c r="AB83">
        <v>5466</v>
      </c>
      <c r="AC83">
        <f>393*31</f>
        <v>12183</v>
      </c>
      <c r="AD83">
        <v>403</v>
      </c>
      <c r="AE83">
        <v>5208</v>
      </c>
      <c r="AG83">
        <v>1581</v>
      </c>
      <c r="AH83">
        <v>3874</v>
      </c>
      <c r="AI83">
        <v>992</v>
      </c>
      <c r="AJ83" s="5">
        <f>SUM(C83:AG83)</f>
        <v>72257</v>
      </c>
      <c r="AK83">
        <f>+AB83+R83+W83+AC83+AE83+AF83+T83</f>
        <v>43751</v>
      </c>
      <c r="AL83">
        <f>+E83+G83+I83+J83+K83+N83+O83+Q83+S83+X83+F83+AH83</f>
        <v>24258</v>
      </c>
      <c r="AM83">
        <f>+D83+H83+P83+Y83+AD83+AI83+AG83+C83+L83+M83+V83+U83+Z83+AA83</f>
        <v>9114</v>
      </c>
      <c r="AN83">
        <f>+G83+I83+N83+Q83+V83+X83+AI83</f>
        <v>13361</v>
      </c>
      <c r="AO83">
        <f>+B83+D83+E83+J83+K83+L83+M83+O83+P83+R83+S83+W83+Y83+AB83+AC83+AD83+AE83+AF83+AG83+T83+F83</f>
        <v>58028</v>
      </c>
      <c r="AP83">
        <f>+AA83+Z83+U83+H83+C83</f>
        <v>1860</v>
      </c>
    </row>
    <row r="84" spans="1:42" x14ac:dyDescent="0.2">
      <c r="A84" t="s">
        <v>2</v>
      </c>
      <c r="D84">
        <v>531</v>
      </c>
      <c r="F84">
        <v>857</v>
      </c>
      <c r="G84">
        <f>+G83*0.874</f>
        <v>2221.7080000000001</v>
      </c>
      <c r="H84">
        <v>303</v>
      </c>
      <c r="I84">
        <v>2000</v>
      </c>
      <c r="J84">
        <f>+J83*0.95</f>
        <v>1678.6499999999999</v>
      </c>
      <c r="K84">
        <v>931</v>
      </c>
      <c r="M84">
        <v>347</v>
      </c>
      <c r="N84">
        <f>+N83*0.6698</f>
        <v>1494.9935999999998</v>
      </c>
      <c r="O84">
        <v>211</v>
      </c>
      <c r="P84">
        <v>496</v>
      </c>
      <c r="Q84">
        <v>2247</v>
      </c>
      <c r="S84">
        <f>+S83*0.567</f>
        <v>1951.0469999999998</v>
      </c>
      <c r="T84">
        <f>+T83*0.39</f>
        <v>2538.9</v>
      </c>
      <c r="U84">
        <f>+U83*0.613</f>
        <v>874.13800000000003</v>
      </c>
      <c r="V84">
        <f>+V83*0.897</f>
        <v>695.17500000000007</v>
      </c>
      <c r="W84">
        <v>8135</v>
      </c>
      <c r="X84">
        <v>902</v>
      </c>
      <c r="Y84">
        <v>181</v>
      </c>
      <c r="AB84">
        <v>3361</v>
      </c>
      <c r="AC84">
        <v>8858</v>
      </c>
      <c r="AD84">
        <v>271</v>
      </c>
      <c r="AE84">
        <v>3028</v>
      </c>
      <c r="AG84">
        <v>1440</v>
      </c>
      <c r="AH84">
        <v>2736</v>
      </c>
      <c r="AI84">
        <v>685</v>
      </c>
      <c r="AJ84" s="5">
        <f>SUM(C84:AI84)</f>
        <v>48974.611600000004</v>
      </c>
      <c r="AK84">
        <f>+AB84+R84+W84+AC84+AE84+AF84+T84</f>
        <v>25920.9</v>
      </c>
      <c r="AL84">
        <f>+E84+G84+I84+J84+K84+N84+O84+Q84+S84+X84+F84+AH84</f>
        <v>17230.3986</v>
      </c>
      <c r="AM84">
        <f>+D84+H84+P84+Y84+AD84+AI84+AG84+C84+L84+M84+V84+U84+Z84+AA84</f>
        <v>5823.3130000000001</v>
      </c>
      <c r="AN84">
        <f>+G84+I84+N84+Q84+V84+X84+AI84</f>
        <v>10245.8766</v>
      </c>
      <c r="AO84">
        <f>+B84+D84+E84+J84+K84+L84+M84+O84+P84+R84+S84+W84+Y84+AB84+AC84+AD84+AE84+AF84+AG84+T84+F84</f>
        <v>34815.597000000002</v>
      </c>
      <c r="AP84">
        <f>+AA84+Z84+U84+H84+C84</f>
        <v>1177.1379999999999</v>
      </c>
    </row>
    <row r="85" spans="1:42" x14ac:dyDescent="0.2">
      <c r="A85" t="s">
        <v>4</v>
      </c>
      <c r="C85" s="3" t="e">
        <f>+C84/C83</f>
        <v>#DIV/0!</v>
      </c>
      <c r="D85" s="3">
        <f>+D84/D83</f>
        <v>0.32318928788800971</v>
      </c>
      <c r="E85" s="3"/>
      <c r="F85" s="3">
        <f t="shared" ref="F85:K85" si="34">+F84/F83</f>
        <v>0.43195564516129031</v>
      </c>
      <c r="G85" s="3">
        <f t="shared" si="34"/>
        <v>0.874</v>
      </c>
      <c r="H85" s="3">
        <f t="shared" si="34"/>
        <v>0.6981566820276498</v>
      </c>
      <c r="I85" s="3">
        <f t="shared" si="34"/>
        <v>0.73313782991202348</v>
      </c>
      <c r="J85" s="3">
        <f t="shared" si="34"/>
        <v>0.95</v>
      </c>
      <c r="K85" s="3">
        <f t="shared" si="34"/>
        <v>0.79032258064516125</v>
      </c>
      <c r="L85" s="3"/>
      <c r="M85" s="3">
        <f>+M84/M83</f>
        <v>0.79953917050691248</v>
      </c>
      <c r="N85" s="3">
        <f>+N84/N83</f>
        <v>0.66979999999999995</v>
      </c>
      <c r="O85" s="3">
        <f>+O84/O83</f>
        <v>0.50238095238095237</v>
      </c>
      <c r="P85" s="3">
        <f>+P84/P83</f>
        <v>0.76190476190476186</v>
      </c>
      <c r="Q85" s="3">
        <f t="shared" ref="Q85:Y85" si="35">+Q84/Q83</f>
        <v>0.7878681626928471</v>
      </c>
      <c r="R85" s="3" t="e">
        <f t="shared" si="35"/>
        <v>#DIV/0!</v>
      </c>
      <c r="S85" s="3">
        <f t="shared" si="35"/>
        <v>0.56699999999999995</v>
      </c>
      <c r="T85" s="3">
        <f t="shared" si="35"/>
        <v>0.39</v>
      </c>
      <c r="U85" s="3">
        <f t="shared" si="35"/>
        <v>0.61299999999999999</v>
      </c>
      <c r="V85" s="3">
        <f t="shared" si="35"/>
        <v>0.89700000000000013</v>
      </c>
      <c r="W85" s="3">
        <f t="shared" si="35"/>
        <v>0.56555895439377091</v>
      </c>
      <c r="X85" s="3">
        <f t="shared" si="35"/>
        <v>0.72741935483870968</v>
      </c>
      <c r="Y85" s="3">
        <f t="shared" si="35"/>
        <v>0.2335483870967742</v>
      </c>
      <c r="Z85" s="3"/>
      <c r="AA85" s="3">
        <v>0</v>
      </c>
      <c r="AB85" s="3">
        <f t="shared" ref="AB85:AP85" si="36">+AB84/AB83</f>
        <v>0.614892060007318</v>
      </c>
      <c r="AC85" s="3">
        <f t="shared" si="36"/>
        <v>0.72707871624394649</v>
      </c>
      <c r="AD85" s="3">
        <f t="shared" si="36"/>
        <v>0.67245657568238215</v>
      </c>
      <c r="AE85" s="3">
        <f t="shared" si="36"/>
        <v>0.58141321044546856</v>
      </c>
      <c r="AF85" s="3" t="e">
        <f t="shared" si="36"/>
        <v>#DIV/0!</v>
      </c>
      <c r="AG85" s="3">
        <f t="shared" si="36"/>
        <v>0.91081593927893734</v>
      </c>
      <c r="AH85" s="3">
        <f t="shared" si="36"/>
        <v>0.70624677336086727</v>
      </c>
      <c r="AI85" s="3">
        <f t="shared" si="36"/>
        <v>0.69052419354838712</v>
      </c>
      <c r="AJ85" s="6">
        <f t="shared" si="36"/>
        <v>0.67778362788380375</v>
      </c>
      <c r="AK85" s="3">
        <f t="shared" si="36"/>
        <v>0.59246417224749148</v>
      </c>
      <c r="AL85" s="3">
        <f t="shared" si="36"/>
        <v>0.7102975760573832</v>
      </c>
      <c r="AM85" s="3">
        <f t="shared" si="36"/>
        <v>0.63894151854290104</v>
      </c>
      <c r="AN85" s="3">
        <f t="shared" si="36"/>
        <v>0.76684953222064212</v>
      </c>
      <c r="AO85" s="3">
        <f t="shared" si="36"/>
        <v>0.5999792686289378</v>
      </c>
      <c r="AP85" s="3">
        <f t="shared" si="36"/>
        <v>0.6328698924731182</v>
      </c>
    </row>
    <row r="86" spans="1:42" x14ac:dyDescent="0.2">
      <c r="A86" s="20"/>
      <c r="B86" s="20"/>
      <c r="C86" s="20"/>
      <c r="D86" s="20">
        <v>1</v>
      </c>
      <c r="E86" s="20"/>
      <c r="F86" s="20">
        <v>1</v>
      </c>
      <c r="G86" s="20">
        <v>1</v>
      </c>
      <c r="H86" s="20">
        <v>1</v>
      </c>
      <c r="I86" s="20">
        <v>1</v>
      </c>
      <c r="J86" s="20">
        <v>1</v>
      </c>
      <c r="K86" s="20">
        <v>1</v>
      </c>
      <c r="L86" s="20"/>
      <c r="M86" s="20">
        <v>1</v>
      </c>
      <c r="N86" s="20">
        <v>1</v>
      </c>
      <c r="O86" s="20">
        <v>1</v>
      </c>
      <c r="P86" s="20">
        <v>1</v>
      </c>
      <c r="Q86" s="20">
        <v>1</v>
      </c>
      <c r="R86" s="20"/>
      <c r="S86" s="20">
        <v>1</v>
      </c>
      <c r="T86" s="20">
        <v>1</v>
      </c>
      <c r="U86" s="20">
        <v>1</v>
      </c>
      <c r="V86" s="20">
        <v>1</v>
      </c>
      <c r="W86" s="20">
        <v>1</v>
      </c>
      <c r="X86" s="20">
        <v>1</v>
      </c>
      <c r="Y86" s="20">
        <v>1</v>
      </c>
      <c r="Z86" s="20"/>
      <c r="AA86" s="20"/>
      <c r="AB86" s="20">
        <v>1</v>
      </c>
      <c r="AC86" s="20">
        <v>1</v>
      </c>
      <c r="AD86" s="20">
        <v>1</v>
      </c>
      <c r="AE86" s="20">
        <v>1</v>
      </c>
      <c r="AF86" s="20"/>
      <c r="AG86" s="20">
        <v>1</v>
      </c>
      <c r="AH86" s="20">
        <v>1</v>
      </c>
      <c r="AI86" s="20">
        <v>1</v>
      </c>
      <c r="AJ86" s="19">
        <f>SUM(C86:AI86)</f>
        <v>26</v>
      </c>
      <c r="AK86" s="20">
        <f>+AB86+R86+W86+AC86+AE86+AF86+T86</f>
        <v>5</v>
      </c>
      <c r="AL86" s="20">
        <f>+E86+G86+I86+J86+K86+N86+O86+Q86+S86+X86+F86+AH86</f>
        <v>11</v>
      </c>
      <c r="AM86" s="20">
        <f>+D86+H86+P86+Y86+AD86+AI86+AG86+C86+L86+M86+V86+U86+Z86+AA86</f>
        <v>10</v>
      </c>
      <c r="AN86" s="20">
        <f>+G86+I86+N86+Q86+V86+X86+AI86</f>
        <v>7</v>
      </c>
      <c r="AO86" s="20">
        <f>+B86+D86+E86+J86+K86+L86+M86+O86+P86+R86+S86+W86+Y86+AB86+AC86+AD86+AE86+AF86+AG86+T86+F86+AH86</f>
        <v>17</v>
      </c>
      <c r="AP86" s="20">
        <f>+AA86+Z86+U86+H86+C86</f>
        <v>2</v>
      </c>
    </row>
    <row r="87" spans="1:42" x14ac:dyDescent="0.2">
      <c r="A87" t="s">
        <v>61</v>
      </c>
      <c r="AJ87">
        <f>+AJ6+AJ12+AJ17+AJ23+AJ29+AJ35+AJ41+AJ47+AJ53+AJ59+AJ65+AJ71+AJ77+AJ83</f>
        <v>915595</v>
      </c>
      <c r="AK87">
        <f t="shared" ref="AK87:AP87" si="37">+AK6+AK12+AK17+AK23+AK29+AK35+AK41+AK47+AK53+AK59+AK65+AK71+AK77+AK83</f>
        <v>557428</v>
      </c>
      <c r="AL87">
        <f t="shared" si="37"/>
        <v>266362</v>
      </c>
      <c r="AM87">
        <f t="shared" si="37"/>
        <v>101397</v>
      </c>
      <c r="AN87">
        <f t="shared" si="37"/>
        <v>159544</v>
      </c>
      <c r="AO87">
        <f t="shared" si="37"/>
        <v>739217</v>
      </c>
      <c r="AP87">
        <f t="shared" si="37"/>
        <v>18764</v>
      </c>
    </row>
    <row r="88" spans="1:42" x14ac:dyDescent="0.2">
      <c r="AJ88">
        <f>+AJ7+AJ13+AJ18+AJ24+AJ30+AJ36+AJ42+AJ48+AJ54+AJ60+AJ66+AJ72+AJ78+AJ84</f>
        <v>605299.64250000007</v>
      </c>
      <c r="AK88">
        <f t="shared" ref="AK88:AP88" si="38">+AK7+AK13+AK18+AK24+AK30+AK36+AK42+AK48+AK54+AK60+AK66+AK72+AK78+AK84</f>
        <v>355258.58929999999</v>
      </c>
      <c r="AL88">
        <f t="shared" si="38"/>
        <v>187203.00959999999</v>
      </c>
      <c r="AM88">
        <f t="shared" si="38"/>
        <v>63546.043599999997</v>
      </c>
      <c r="AN88">
        <f t="shared" si="38"/>
        <v>117783.7392</v>
      </c>
      <c r="AO88">
        <f t="shared" si="38"/>
        <v>470014.29930000001</v>
      </c>
      <c r="AP88">
        <f t="shared" si="38"/>
        <v>12288.603999999999</v>
      </c>
    </row>
    <row r="89" spans="1:42" x14ac:dyDescent="0.2">
      <c r="AE89" t="s">
        <v>15</v>
      </c>
      <c r="AJ89" s="6">
        <f t="shared" ref="AJ89:AP89" si="39">+AJ88/AJ87</f>
        <v>0.66109976845657747</v>
      </c>
      <c r="AK89" s="6">
        <f t="shared" si="39"/>
        <v>0.63731744601993445</v>
      </c>
      <c r="AL89" s="6">
        <f t="shared" si="39"/>
        <v>0.70281425128208974</v>
      </c>
      <c r="AM89" s="6">
        <f t="shared" si="39"/>
        <v>0.62670536209158056</v>
      </c>
      <c r="AN89" s="6">
        <f t="shared" si="39"/>
        <v>0.73825238930953219</v>
      </c>
      <c r="AO89" s="6">
        <f t="shared" si="39"/>
        <v>0.63582723246353912</v>
      </c>
      <c r="AP89" s="6">
        <f t="shared" si="39"/>
        <v>0.65490321892986569</v>
      </c>
    </row>
  </sheetData>
  <phoneticPr fontId="3" type="noConversion"/>
  <pageMargins left="0.74803149606299213" right="0.4" top="0.53" bottom="0.47" header="0.51181102362204722" footer="0.51181102362204722"/>
  <pageSetup scale="44" orientation="landscape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5"/>
  <sheetViews>
    <sheetView topLeftCell="A2" zoomScaleNormal="100" workbookViewId="0">
      <pane xSplit="1" ySplit="3" topLeftCell="AA26" activePane="bottomRight" state="frozen"/>
      <selection activeCell="A2" sqref="A2"/>
      <selection pane="topRight" activeCell="B2" sqref="B2"/>
      <selection pane="bottomLeft" activeCell="A5" sqref="A5"/>
      <selection pane="bottomRight" activeCell="AI56" sqref="AI56"/>
    </sheetView>
  </sheetViews>
  <sheetFormatPr defaultRowHeight="12.75" x14ac:dyDescent="0.2"/>
  <cols>
    <col min="1" max="1" width="18.140625" customWidth="1"/>
    <col min="2" max="11" width="8" customWidth="1"/>
    <col min="12" max="12" width="2.85546875" customWidth="1"/>
    <col min="13" max="37" width="8" customWidth="1"/>
    <col min="38" max="38" width="9.85546875" customWidth="1"/>
    <col min="39" max="39" width="8.7109375" customWidth="1"/>
    <col min="40" max="40" width="8.42578125" customWidth="1"/>
    <col min="41" max="41" width="9.7109375" customWidth="1"/>
    <col min="42" max="42" width="8" customWidth="1"/>
    <col min="43" max="43" width="9.28515625" customWidth="1"/>
    <col min="44" max="44" width="8.7109375" customWidth="1"/>
  </cols>
  <sheetData>
    <row r="1" spans="1:47" x14ac:dyDescent="0.2">
      <c r="N1" t="s">
        <v>15</v>
      </c>
      <c r="V1" t="s">
        <v>15</v>
      </c>
      <c r="X1" t="s">
        <v>15</v>
      </c>
      <c r="Z1" t="s">
        <v>15</v>
      </c>
    </row>
    <row r="2" spans="1:47" x14ac:dyDescent="0.2">
      <c r="A2" t="s">
        <v>36</v>
      </c>
      <c r="B2" s="10"/>
      <c r="C2" s="10"/>
      <c r="D2" s="10"/>
      <c r="E2" s="11"/>
      <c r="F2" s="10"/>
      <c r="G2" s="11"/>
      <c r="H2" s="10"/>
      <c r="I2" s="11"/>
      <c r="J2" s="11"/>
      <c r="K2" s="11"/>
      <c r="L2" s="11"/>
      <c r="M2" s="10"/>
      <c r="N2" s="10"/>
      <c r="O2" s="11"/>
      <c r="P2" s="11"/>
      <c r="Q2" s="10"/>
      <c r="R2" s="11"/>
      <c r="S2" s="12"/>
      <c r="T2" s="11"/>
      <c r="U2" s="12"/>
      <c r="V2" s="10"/>
      <c r="W2" s="10"/>
      <c r="X2" s="12"/>
      <c r="Y2" s="12"/>
      <c r="Z2" s="11"/>
      <c r="AA2" s="11"/>
      <c r="AB2" s="10"/>
      <c r="AC2" s="12"/>
      <c r="AD2" s="12"/>
      <c r="AE2" s="10"/>
      <c r="AF2" s="10"/>
      <c r="AG2" s="12"/>
      <c r="AH2" s="12"/>
      <c r="AI2" s="10"/>
      <c r="AJ2" s="10"/>
      <c r="AK2" s="10"/>
    </row>
    <row r="3" spans="1:47" x14ac:dyDescent="0.2">
      <c r="A3" t="s">
        <v>37</v>
      </c>
      <c r="B3" s="14"/>
      <c r="C3" s="14"/>
      <c r="D3" s="14"/>
      <c r="E3" s="14"/>
      <c r="F3" s="13"/>
      <c r="G3" s="14"/>
      <c r="H3" s="15"/>
      <c r="I3" s="13"/>
      <c r="J3" s="13"/>
      <c r="K3" s="14"/>
      <c r="L3" s="14"/>
      <c r="M3" s="14"/>
      <c r="N3" s="14"/>
      <c r="O3" s="13"/>
      <c r="P3" s="13"/>
      <c r="Q3" s="14"/>
      <c r="R3" s="13"/>
      <c r="S3" s="14"/>
      <c r="T3" s="14"/>
      <c r="U3" s="14"/>
      <c r="V3" s="15"/>
      <c r="W3" s="13"/>
      <c r="X3" s="14"/>
      <c r="Y3" s="14"/>
      <c r="Z3" s="13"/>
      <c r="AA3" s="13"/>
      <c r="AB3" s="15"/>
      <c r="AC3" s="14"/>
      <c r="AD3" s="14"/>
      <c r="AE3" s="14"/>
      <c r="AF3" s="14"/>
      <c r="AG3" s="14"/>
      <c r="AH3" s="14"/>
      <c r="AI3" s="14"/>
      <c r="AJ3" s="14"/>
      <c r="AK3" s="13"/>
    </row>
    <row r="4" spans="1:47" ht="85.5" customHeight="1" x14ac:dyDescent="0.2">
      <c r="B4" s="7" t="s">
        <v>24</v>
      </c>
      <c r="C4" s="7" t="s">
        <v>179</v>
      </c>
      <c r="D4" s="7" t="s">
        <v>7</v>
      </c>
      <c r="E4" s="8" t="s">
        <v>39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157</v>
      </c>
      <c r="K4" s="8" t="s">
        <v>17</v>
      </c>
      <c r="L4" s="8" t="s">
        <v>18</v>
      </c>
      <c r="M4" s="7" t="s">
        <v>40</v>
      </c>
      <c r="N4" s="7" t="s">
        <v>26</v>
      </c>
      <c r="O4" s="8" t="s">
        <v>35</v>
      </c>
      <c r="P4" s="8" t="s">
        <v>159</v>
      </c>
      <c r="Q4" s="7" t="s">
        <v>8</v>
      </c>
      <c r="R4" s="8" t="s">
        <v>6</v>
      </c>
      <c r="S4" s="9" t="s">
        <v>16</v>
      </c>
      <c r="T4" s="8" t="s">
        <v>34</v>
      </c>
      <c r="U4" s="9" t="s">
        <v>55</v>
      </c>
      <c r="V4" s="7" t="s">
        <v>27</v>
      </c>
      <c r="W4" s="7" t="s">
        <v>38</v>
      </c>
      <c r="X4" s="9" t="s">
        <v>14</v>
      </c>
      <c r="Y4" s="9" t="s">
        <v>126</v>
      </c>
      <c r="Z4" s="8" t="s">
        <v>28</v>
      </c>
      <c r="AA4" s="8" t="s">
        <v>183</v>
      </c>
      <c r="AB4" s="7" t="s">
        <v>176</v>
      </c>
      <c r="AC4" s="9" t="s">
        <v>33</v>
      </c>
      <c r="AD4" s="9" t="s">
        <v>9</v>
      </c>
      <c r="AE4" s="7" t="s">
        <v>20</v>
      </c>
      <c r="AF4" s="7" t="s">
        <v>204</v>
      </c>
      <c r="AG4" s="9" t="s">
        <v>32</v>
      </c>
      <c r="AH4" s="9" t="s">
        <v>120</v>
      </c>
      <c r="AI4" s="93" t="s">
        <v>5</v>
      </c>
      <c r="AJ4" s="7" t="s">
        <v>68</v>
      </c>
      <c r="AK4" s="7" t="s">
        <v>11</v>
      </c>
      <c r="AL4" s="4" t="s">
        <v>13</v>
      </c>
      <c r="AM4" s="1" t="s">
        <v>21</v>
      </c>
      <c r="AN4" s="1" t="s">
        <v>22</v>
      </c>
      <c r="AO4" s="1" t="s">
        <v>23</v>
      </c>
      <c r="AP4" s="1" t="s">
        <v>43</v>
      </c>
      <c r="AQ4" s="1" t="s">
        <v>44</v>
      </c>
      <c r="AR4" s="1" t="s">
        <v>45</v>
      </c>
    </row>
    <row r="5" spans="1:47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H5" s="1"/>
      <c r="AL5" s="5"/>
    </row>
    <row r="6" spans="1:47" x14ac:dyDescent="0.2">
      <c r="A6" t="s">
        <v>1</v>
      </c>
      <c r="B6" s="38">
        <v>713</v>
      </c>
      <c r="C6" s="38">
        <v>1240</v>
      </c>
      <c r="D6" s="38">
        <v>1643</v>
      </c>
      <c r="E6" s="38"/>
      <c r="F6" s="38">
        <v>3317</v>
      </c>
      <c r="G6" s="38">
        <v>527</v>
      </c>
      <c r="H6" s="38">
        <v>434</v>
      </c>
      <c r="I6" s="38">
        <v>2542</v>
      </c>
      <c r="J6" s="38"/>
      <c r="K6" s="38">
        <v>2015</v>
      </c>
      <c r="L6" s="38">
        <v>0</v>
      </c>
      <c r="M6" s="38">
        <v>930</v>
      </c>
      <c r="N6" s="38">
        <v>434</v>
      </c>
      <c r="O6" s="38">
        <v>2232</v>
      </c>
      <c r="P6" s="38">
        <v>434</v>
      </c>
      <c r="Q6" s="38">
        <v>713</v>
      </c>
      <c r="R6" s="38">
        <v>3007</v>
      </c>
      <c r="S6" s="38">
        <v>8246</v>
      </c>
      <c r="T6" s="38">
        <v>3441</v>
      </c>
      <c r="U6" s="38">
        <f>181*31</f>
        <v>5611</v>
      </c>
      <c r="V6" s="38">
        <v>1426</v>
      </c>
      <c r="W6" s="38">
        <v>775</v>
      </c>
      <c r="X6" s="38">
        <v>14384</v>
      </c>
      <c r="Y6" s="38">
        <v>1798</v>
      </c>
      <c r="Z6" s="38">
        <v>1240</v>
      </c>
      <c r="AA6" s="38">
        <v>620</v>
      </c>
      <c r="AB6" s="38">
        <f>68*31</f>
        <v>2108</v>
      </c>
      <c r="AC6" s="38">
        <v>5580</v>
      </c>
      <c r="AD6" s="38">
        <v>11563</v>
      </c>
      <c r="AE6" s="38">
        <v>403</v>
      </c>
      <c r="AF6" s="38">
        <v>434</v>
      </c>
      <c r="AG6" s="38">
        <v>7471</v>
      </c>
      <c r="AH6" s="38">
        <v>1860</v>
      </c>
      <c r="AI6" s="38">
        <v>1550</v>
      </c>
      <c r="AJ6" s="38">
        <v>5549</v>
      </c>
      <c r="AK6" s="38">
        <v>1054</v>
      </c>
      <c r="AL6" s="94">
        <f>SUM(B6:AK6)</f>
        <v>95294</v>
      </c>
      <c r="AM6">
        <f>+AC6+S6+X6+AD6+AG6+U6+AJ6</f>
        <v>58404</v>
      </c>
      <c r="AN6" s="20">
        <f>+D6+I6+O6+R6+T6+Z6+E6+Y6+AH6+F6</f>
        <v>21080</v>
      </c>
      <c r="AO6">
        <f>+B6+Q6+AE6+AK6+AI6+L6+M6+W6+V6+AB6+N6+K6+H6+G6+J6+P6+C6+AA6+AF6</f>
        <v>15810</v>
      </c>
      <c r="AP6">
        <f>+R6+W6+Z6+AK6+O6+I6+F6</f>
        <v>14167</v>
      </c>
      <c r="AQ6" s="20">
        <f>+B6+D6+K6+L6+M6+Q6+S6+T6+X6+AC6+AD6+AE6+AG6+AI6+U6+E6+AJ6+Y6+N6+G6+AH6+AA6+AF6</f>
        <v>75485</v>
      </c>
      <c r="AR6" s="20">
        <f>+AB6+V6+H6+J6+P6+C6</f>
        <v>5642</v>
      </c>
      <c r="AS6">
        <f>+AM6+AN6+AO6</f>
        <v>95294</v>
      </c>
      <c r="AT6">
        <f>+AP6+AQ6+AR6</f>
        <v>95294</v>
      </c>
      <c r="AU6">
        <f>+AR6+AQ6+AP6</f>
        <v>95294</v>
      </c>
    </row>
    <row r="7" spans="1:47" x14ac:dyDescent="0.2">
      <c r="A7" t="s">
        <v>2</v>
      </c>
      <c r="B7" s="38">
        <v>556</v>
      </c>
      <c r="C7" s="38">
        <v>396</v>
      </c>
      <c r="D7" s="38">
        <v>1019</v>
      </c>
      <c r="E7" s="38"/>
      <c r="F7" s="38">
        <v>2819</v>
      </c>
      <c r="G7" s="38">
        <v>483</v>
      </c>
      <c r="H7" s="38">
        <v>400</v>
      </c>
      <c r="I7" s="38">
        <v>1614</v>
      </c>
      <c r="J7" s="38"/>
      <c r="K7" s="38">
        <v>1874</v>
      </c>
      <c r="L7" s="38">
        <v>0</v>
      </c>
      <c r="M7" s="38">
        <v>803</v>
      </c>
      <c r="N7" s="38">
        <v>282</v>
      </c>
      <c r="O7" s="38">
        <v>1337</v>
      </c>
      <c r="P7" s="38">
        <v>339</v>
      </c>
      <c r="Q7" s="38">
        <v>449</v>
      </c>
      <c r="R7" s="38">
        <v>2673</v>
      </c>
      <c r="S7" s="38">
        <v>1064</v>
      </c>
      <c r="T7" s="38">
        <v>1652</v>
      </c>
      <c r="U7" s="38">
        <v>3928</v>
      </c>
      <c r="V7" s="38">
        <v>1064</v>
      </c>
      <c r="W7" s="38">
        <f>+W6*0.8</f>
        <v>620</v>
      </c>
      <c r="X7" s="38">
        <v>6904</v>
      </c>
      <c r="Y7" s="38">
        <v>1169</v>
      </c>
      <c r="Z7" s="38">
        <v>901</v>
      </c>
      <c r="AA7" s="38">
        <v>428</v>
      </c>
      <c r="AB7" s="38">
        <v>1876</v>
      </c>
      <c r="AC7" s="38">
        <v>3683</v>
      </c>
      <c r="AD7" s="38">
        <v>10303</v>
      </c>
      <c r="AE7" s="38">
        <v>286</v>
      </c>
      <c r="AF7" s="38">
        <v>321</v>
      </c>
      <c r="AG7" s="38">
        <v>6394</v>
      </c>
      <c r="AH7" s="38">
        <v>1365</v>
      </c>
      <c r="AI7" s="38">
        <v>1334</v>
      </c>
      <c r="AJ7" s="38">
        <v>5044</v>
      </c>
      <c r="AK7" s="38">
        <v>937</v>
      </c>
      <c r="AL7" s="94">
        <f>SUM(B7:AK7)</f>
        <v>64317</v>
      </c>
      <c r="AM7">
        <f>+AC7+S7+X7+AD7+AG7+U7+AJ7</f>
        <v>37320</v>
      </c>
      <c r="AN7" s="48">
        <f>+D7+I7+O7+R7+T7+Z7+E7+Y7+AH7+F7</f>
        <v>14549</v>
      </c>
      <c r="AO7">
        <f>+B7+Q7+AE7+AK7+AI7+L7+M7+W7+V7+AB7+N7+K7+H7+G7+J7+P7+C7+AA7+AF7</f>
        <v>12448</v>
      </c>
      <c r="AP7">
        <f>+R7+W7+Z7+AK7+O7+I7+F7</f>
        <v>10901</v>
      </c>
      <c r="AQ7" s="20">
        <f>+B7+D7+K7+L7+M7+Q7+S7+T7+X7+AC7+AD7+AE7+AG7+AI7+U7+E7+AJ7+Y7+N7+G7+AH7+AA7+AF7</f>
        <v>49341</v>
      </c>
      <c r="AR7" s="20">
        <f>+AB7+V7+H7+J7+P7+C7</f>
        <v>4075</v>
      </c>
      <c r="AS7">
        <f>+AM7+AN7+AO7</f>
        <v>64317</v>
      </c>
      <c r="AT7">
        <f>+AP7+AQ7+AR7</f>
        <v>64317</v>
      </c>
      <c r="AU7">
        <f>+AR7+AQ7+AP7</f>
        <v>64317</v>
      </c>
    </row>
    <row r="8" spans="1:47" x14ac:dyDescent="0.2">
      <c r="A8" t="s">
        <v>4</v>
      </c>
      <c r="B8" s="3">
        <f>+B7/B6</f>
        <v>0.77980364656381485</v>
      </c>
      <c r="C8" s="3">
        <f>+C7/C6</f>
        <v>0.3193548387096774</v>
      </c>
      <c r="D8" s="3">
        <f>+D7/D6</f>
        <v>0.62020693852708464</v>
      </c>
      <c r="E8" s="3"/>
      <c r="F8" s="3">
        <f>+F7/F6</f>
        <v>0.84986433524268923</v>
      </c>
      <c r="G8" s="3">
        <f>+G7/G6</f>
        <v>0.91650853889943074</v>
      </c>
      <c r="H8" s="3">
        <f t="shared" ref="H8:AR8" si="0">+H7/H6</f>
        <v>0.92165898617511521</v>
      </c>
      <c r="I8" s="3">
        <f t="shared" si="0"/>
        <v>0.63493312352478359</v>
      </c>
      <c r="J8" s="3"/>
      <c r="K8" s="3">
        <f t="shared" si="0"/>
        <v>0.93002481389578162</v>
      </c>
      <c r="L8" s="3">
        <v>0</v>
      </c>
      <c r="M8" s="3">
        <f t="shared" si="0"/>
        <v>0.86344086021505373</v>
      </c>
      <c r="N8" s="3">
        <f t="shared" si="0"/>
        <v>0.64976958525345618</v>
      </c>
      <c r="O8" s="3">
        <f t="shared" si="0"/>
        <v>0.59901433691756267</v>
      </c>
      <c r="P8" s="3">
        <f t="shared" si="0"/>
        <v>0.78110599078341014</v>
      </c>
      <c r="Q8" s="3">
        <f>+Q7/Q6</f>
        <v>0.6297335203366059</v>
      </c>
      <c r="R8" s="3">
        <f t="shared" si="0"/>
        <v>0.88892583970734951</v>
      </c>
      <c r="S8" s="3">
        <f>+S7/S6</f>
        <v>0.12903225806451613</v>
      </c>
      <c r="T8" s="3">
        <f t="shared" si="0"/>
        <v>0.4800929962220285</v>
      </c>
      <c r="U8" s="3">
        <f t="shared" si="0"/>
        <v>0.70005346640527533</v>
      </c>
      <c r="V8" s="3">
        <f t="shared" si="0"/>
        <v>0.74614305750350629</v>
      </c>
      <c r="W8" s="3">
        <f t="shared" si="0"/>
        <v>0.8</v>
      </c>
      <c r="X8" s="3">
        <f t="shared" si="0"/>
        <v>0.4799777530589544</v>
      </c>
      <c r="Y8" s="3">
        <f t="shared" si="0"/>
        <v>0.65016685205784208</v>
      </c>
      <c r="Z8" s="3">
        <f t="shared" si="0"/>
        <v>0.72661290322580641</v>
      </c>
      <c r="AA8" s="3">
        <f t="shared" si="0"/>
        <v>0.69032258064516128</v>
      </c>
      <c r="AB8" s="3">
        <f t="shared" si="0"/>
        <v>0.88994307400379502</v>
      </c>
      <c r="AC8" s="3">
        <f t="shared" si="0"/>
        <v>0.66003584229390677</v>
      </c>
      <c r="AD8" s="3">
        <f t="shared" si="0"/>
        <v>0.89103173916803602</v>
      </c>
      <c r="AE8" s="3">
        <f t="shared" si="0"/>
        <v>0.70967741935483875</v>
      </c>
      <c r="AF8" s="3">
        <f t="shared" si="0"/>
        <v>0.73963133640552992</v>
      </c>
      <c r="AG8" s="3">
        <f t="shared" si="0"/>
        <v>0.85584259135323248</v>
      </c>
      <c r="AH8" s="3">
        <f t="shared" si="0"/>
        <v>0.7338709677419355</v>
      </c>
      <c r="AI8" s="3">
        <f t="shared" si="0"/>
        <v>0.86064516129032254</v>
      </c>
      <c r="AJ8" s="3">
        <f t="shared" si="0"/>
        <v>0.90899261128131192</v>
      </c>
      <c r="AK8" s="3">
        <f t="shared" si="0"/>
        <v>0.88899430740037955</v>
      </c>
      <c r="AL8" s="6">
        <f t="shared" si="0"/>
        <v>0.6749323147312527</v>
      </c>
      <c r="AM8" s="3">
        <f t="shared" si="0"/>
        <v>0.63899732895007189</v>
      </c>
      <c r="AN8" s="3">
        <f t="shared" si="0"/>
        <v>0.69018026565464896</v>
      </c>
      <c r="AO8" s="3">
        <f t="shared" si="0"/>
        <v>0.78734977862112587</v>
      </c>
      <c r="AP8" s="3">
        <f t="shared" si="0"/>
        <v>0.76946424790004941</v>
      </c>
      <c r="AQ8" s="3">
        <f t="shared" si="0"/>
        <v>0.65365304365105648</v>
      </c>
      <c r="AR8" s="3">
        <f t="shared" si="0"/>
        <v>0.72226160935838357</v>
      </c>
    </row>
    <row r="9" spans="1:47" x14ac:dyDescent="0.2">
      <c r="A9" s="20"/>
      <c r="B9" s="20">
        <v>1</v>
      </c>
      <c r="C9" s="20">
        <v>1</v>
      </c>
      <c r="D9" s="20">
        <v>1</v>
      </c>
      <c r="E9" s="20"/>
      <c r="F9" s="20">
        <v>1</v>
      </c>
      <c r="G9" s="20">
        <v>1</v>
      </c>
      <c r="H9" s="20">
        <v>1</v>
      </c>
      <c r="I9" s="20">
        <v>1</v>
      </c>
      <c r="J9" s="20"/>
      <c r="K9" s="20">
        <v>1</v>
      </c>
      <c r="L9" s="20"/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>
        <v>1</v>
      </c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20">
        <v>1</v>
      </c>
      <c r="AJ9" s="20">
        <v>1</v>
      </c>
      <c r="AK9" s="20">
        <v>1</v>
      </c>
      <c r="AL9" s="94">
        <f>SUM(B9:AK9)</f>
        <v>33</v>
      </c>
      <c r="AM9" s="20">
        <f>+AC9+S9+X9+AD9+AG9+U9+AJ9</f>
        <v>7</v>
      </c>
      <c r="AN9" s="20">
        <f>+D9+I9+O9+R9+T9+Z9+E9+Y9+AH9+F9</f>
        <v>9</v>
      </c>
      <c r="AO9">
        <f>+B9+Q9+AE9+AK9+AI9+L9+M9+W9+V9+AB9+N9+K9+H9+G9+J9+P9+C9+AA9+AF9</f>
        <v>17</v>
      </c>
      <c r="AP9" s="20">
        <f>+R9+W9+Z9+AK9+O9+I9+F9</f>
        <v>7</v>
      </c>
      <c r="AQ9" s="20">
        <f>+B9+D9+K9+L9+M9+Q9+S9+T9+X9+AC9+AD9+AE9+AG9+AI9+U9+E9+AJ9+Y9+N9+G9+AH9+AA9+AF9</f>
        <v>21</v>
      </c>
      <c r="AR9" s="20">
        <f>+AB9+V9+H9+J9+P9+C9</f>
        <v>5</v>
      </c>
    </row>
    <row r="10" spans="1:47" x14ac:dyDescent="0.2">
      <c r="C10" t="s">
        <v>222</v>
      </c>
      <c r="AB10" t="s">
        <v>15</v>
      </c>
    </row>
    <row r="11" spans="1:47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  <c r="AC11" s="1"/>
      <c r="AD11" s="1"/>
      <c r="AE11" s="1"/>
      <c r="AF11" s="1"/>
      <c r="AG11" s="1"/>
      <c r="AH11" s="1"/>
      <c r="AL11" s="5"/>
    </row>
    <row r="12" spans="1:47" x14ac:dyDescent="0.2">
      <c r="A12" t="s">
        <v>1</v>
      </c>
      <c r="B12" s="45">
        <f>23*29</f>
        <v>667</v>
      </c>
      <c r="C12" s="45">
        <f>40*29</f>
        <v>1160</v>
      </c>
      <c r="D12" s="45">
        <f>53*29</f>
        <v>1537</v>
      </c>
      <c r="E12" s="45"/>
      <c r="F12" s="45">
        <f>3317*0.935483870967742</f>
        <v>3103</v>
      </c>
      <c r="G12" s="45">
        <f>17*29</f>
        <v>493</v>
      </c>
      <c r="H12" s="45">
        <v>555</v>
      </c>
      <c r="I12" s="45">
        <f>82*29</f>
        <v>2378</v>
      </c>
      <c r="J12" s="45"/>
      <c r="K12" s="45">
        <f>65*29</f>
        <v>1885</v>
      </c>
      <c r="L12" s="45"/>
      <c r="M12" s="45">
        <f>30*29</f>
        <v>870</v>
      </c>
      <c r="N12" s="45">
        <f>14*29</f>
        <v>406</v>
      </c>
      <c r="O12" s="45">
        <f>72*29</f>
        <v>2088</v>
      </c>
      <c r="P12" s="45">
        <f>14*29</f>
        <v>406</v>
      </c>
      <c r="Q12" s="45">
        <v>667</v>
      </c>
      <c r="R12" s="45">
        <v>2813</v>
      </c>
      <c r="S12" s="45">
        <f>266*29</f>
        <v>7714</v>
      </c>
      <c r="T12" s="45">
        <f>111*29</f>
        <v>3219</v>
      </c>
      <c r="U12" s="45">
        <f>181*29</f>
        <v>5249</v>
      </c>
      <c r="V12" s="45">
        <f>46*29</f>
        <v>1334</v>
      </c>
      <c r="W12" s="45">
        <f>25*29</f>
        <v>725</v>
      </c>
      <c r="X12" s="45">
        <f>464*29</f>
        <v>13456</v>
      </c>
      <c r="Y12" s="45">
        <f>58*29</f>
        <v>1682</v>
      </c>
      <c r="Z12" s="45">
        <f>40*29</f>
        <v>1160</v>
      </c>
      <c r="AA12" s="45">
        <v>580</v>
      </c>
      <c r="AB12" s="45">
        <f>68*29</f>
        <v>1972</v>
      </c>
      <c r="AC12" s="45">
        <f>180*29</f>
        <v>5220</v>
      </c>
      <c r="AD12" s="45">
        <v>10817</v>
      </c>
      <c r="AE12" s="45">
        <f>29*13</f>
        <v>377</v>
      </c>
      <c r="AF12" s="45">
        <f>14*29</f>
        <v>406</v>
      </c>
      <c r="AG12" s="45">
        <v>6960</v>
      </c>
      <c r="AH12" s="45">
        <f>60*29</f>
        <v>1740</v>
      </c>
      <c r="AI12" s="45">
        <v>1450</v>
      </c>
      <c r="AJ12" s="45">
        <v>5220</v>
      </c>
      <c r="AK12" s="45">
        <f>34*29</f>
        <v>986</v>
      </c>
      <c r="AL12" s="95">
        <f>SUM(B12:AK12)</f>
        <v>89295</v>
      </c>
      <c r="AM12">
        <f>+AC12+S12+X12+AD12+AG12+U12+AJ12</f>
        <v>54636</v>
      </c>
      <c r="AN12" s="20">
        <f>+D12+I12+O12+R12+T12+Z12+E12+Y12+AH12+F12</f>
        <v>19720</v>
      </c>
      <c r="AO12">
        <f>+B12+Q12+AE12+AK12+AI12+L12+M12+W12+V12+AB12+N12+K12+H12+G12+J12+P12+C12+AA12+AF12</f>
        <v>14939</v>
      </c>
      <c r="AP12" s="5">
        <f>+R12+W12+Z12+AK12+O12+I12+F12</f>
        <v>13253</v>
      </c>
      <c r="AQ12" s="20">
        <f>+B12+D12+K12+L12+M12+Q12+S12+T12+X12+AC12+AD12+AE12+AG12+AI12+U12+E12+AJ12+Y12+N12+G12+AH12+AA12+AF12</f>
        <v>70615</v>
      </c>
      <c r="AR12" s="20">
        <f>+AB12+V12+H12+J12+P12+C12</f>
        <v>5427</v>
      </c>
      <c r="AS12">
        <f>+AM12+AN12+AO12</f>
        <v>89295</v>
      </c>
      <c r="AT12">
        <f>+AP12+AQ12+AR12</f>
        <v>89295</v>
      </c>
      <c r="AU12">
        <f>+AR12+AQ12+AP12</f>
        <v>89295</v>
      </c>
    </row>
    <row r="13" spans="1:47" x14ac:dyDescent="0.2">
      <c r="A13" t="s">
        <v>2</v>
      </c>
      <c r="B13" s="38">
        <v>647</v>
      </c>
      <c r="C13" s="38">
        <v>800</v>
      </c>
      <c r="D13" s="38">
        <v>1153</v>
      </c>
      <c r="E13" s="38"/>
      <c r="F13" s="38">
        <v>2824</v>
      </c>
      <c r="G13" s="38">
        <v>466</v>
      </c>
      <c r="H13" s="38">
        <v>412</v>
      </c>
      <c r="I13" s="38">
        <v>1560</v>
      </c>
      <c r="J13" s="38"/>
      <c r="K13" s="38">
        <v>1753</v>
      </c>
      <c r="L13" s="38"/>
      <c r="M13" s="38">
        <v>694</v>
      </c>
      <c r="N13" s="38">
        <v>345</v>
      </c>
      <c r="O13" s="38">
        <v>1539</v>
      </c>
      <c r="P13" s="38">
        <v>320</v>
      </c>
      <c r="Q13" s="38">
        <v>509</v>
      </c>
      <c r="R13" s="38">
        <v>2772</v>
      </c>
      <c r="S13" s="38">
        <v>1327</v>
      </c>
      <c r="T13" s="45">
        <v>1352</v>
      </c>
      <c r="U13" s="38">
        <v>3464</v>
      </c>
      <c r="V13" s="38">
        <v>1030</v>
      </c>
      <c r="W13" s="38">
        <v>676</v>
      </c>
      <c r="X13" s="38">
        <v>7939</v>
      </c>
      <c r="Y13" s="38">
        <v>1214</v>
      </c>
      <c r="Z13" s="38">
        <v>836</v>
      </c>
      <c r="AA13" s="38">
        <v>492</v>
      </c>
      <c r="AB13" s="38">
        <v>1578</v>
      </c>
      <c r="AC13" s="38">
        <v>4290</v>
      </c>
      <c r="AD13" s="38">
        <v>10170</v>
      </c>
      <c r="AE13" s="38">
        <v>289</v>
      </c>
      <c r="AF13" s="38">
        <v>313</v>
      </c>
      <c r="AG13" s="38">
        <v>6512</v>
      </c>
      <c r="AH13" s="38">
        <v>1502</v>
      </c>
      <c r="AI13" s="38">
        <v>1249</v>
      </c>
      <c r="AJ13" s="38">
        <v>4705</v>
      </c>
      <c r="AK13" s="38">
        <v>908</v>
      </c>
      <c r="AL13" s="95">
        <f>SUM(B13:AK13)</f>
        <v>65640</v>
      </c>
      <c r="AM13">
        <f>+AC13+S13+X13+AD13+AG13+U13+AJ13</f>
        <v>38407</v>
      </c>
      <c r="AN13" s="48">
        <f>+D13+I13+O13+R13+T13+Z13+E13+Y13+AH13+F13</f>
        <v>14752</v>
      </c>
      <c r="AO13">
        <f>+B13+Q13+AE13+AK13+AI13+L13+M13+W13+V13+AB13+N13+K13+H13+G13+J13+P13+C13+AA13+AF13</f>
        <v>12481</v>
      </c>
      <c r="AP13">
        <f>+R13+W13+Z13+AK13+O13+I13+F13</f>
        <v>11115</v>
      </c>
      <c r="AQ13" s="20">
        <f>+B13+D13+K13+L13+M13+Q13+S13+T13+X13+AC13+AD13+AE13+AG13+AI13+U13+E13+AJ13+Y13+N13+G13+AH13+AA13+AF13</f>
        <v>50385</v>
      </c>
      <c r="AR13" s="20">
        <f>+AB13+V13+H13+J13+P13+C13</f>
        <v>4140</v>
      </c>
      <c r="AS13">
        <f>+AM13+AN13+AO13</f>
        <v>65640</v>
      </c>
      <c r="AT13">
        <f>+AP13+AQ13+AR13</f>
        <v>65640</v>
      </c>
      <c r="AU13">
        <f>+AR13+AQ13+AP13</f>
        <v>65640</v>
      </c>
    </row>
    <row r="14" spans="1:47" x14ac:dyDescent="0.2">
      <c r="A14" t="s">
        <v>4</v>
      </c>
      <c r="B14" s="3">
        <f>+B13/B12</f>
        <v>0.97001499250374812</v>
      </c>
      <c r="C14" s="3">
        <f>+C13/C12</f>
        <v>0.68965517241379315</v>
      </c>
      <c r="D14" s="3">
        <f>+D13/D12</f>
        <v>0.75016265452179576</v>
      </c>
      <c r="E14" s="3"/>
      <c r="F14" s="3">
        <f t="shared" ref="F14:AR14" si="1">+F13/F12</f>
        <v>0.91008701256848212</v>
      </c>
      <c r="G14" s="3">
        <f t="shared" si="1"/>
        <v>0.94523326572008115</v>
      </c>
      <c r="H14" s="3">
        <f t="shared" si="1"/>
        <v>0.74234234234234231</v>
      </c>
      <c r="I14" s="3">
        <f t="shared" si="1"/>
        <v>0.65601345668629096</v>
      </c>
      <c r="J14" s="3"/>
      <c r="K14" s="3">
        <f t="shared" si="1"/>
        <v>0.92997347480106096</v>
      </c>
      <c r="L14" s="3"/>
      <c r="M14" s="3">
        <f t="shared" si="1"/>
        <v>0.79770114942528736</v>
      </c>
      <c r="N14" s="3">
        <f t="shared" si="1"/>
        <v>0.84975369458128081</v>
      </c>
      <c r="O14" s="3">
        <f t="shared" si="1"/>
        <v>0.73706896551724133</v>
      </c>
      <c r="P14" s="3">
        <f t="shared" si="1"/>
        <v>0.78817733990147787</v>
      </c>
      <c r="Q14" s="3">
        <f t="shared" si="1"/>
        <v>0.76311844077961022</v>
      </c>
      <c r="R14" s="3">
        <f t="shared" si="1"/>
        <v>0.98542481336651266</v>
      </c>
      <c r="S14" s="3">
        <f t="shared" si="1"/>
        <v>0.17202488981073374</v>
      </c>
      <c r="T14" s="3">
        <f t="shared" si="1"/>
        <v>0.42000621310966141</v>
      </c>
      <c r="U14" s="3">
        <f t="shared" si="1"/>
        <v>0.65993522575728714</v>
      </c>
      <c r="V14" s="3">
        <f t="shared" si="1"/>
        <v>0.77211394302848579</v>
      </c>
      <c r="W14" s="3">
        <f t="shared" si="1"/>
        <v>0.9324137931034483</v>
      </c>
      <c r="X14" s="3">
        <f t="shared" si="1"/>
        <v>0.58999702734839476</v>
      </c>
      <c r="Y14" s="3">
        <f t="shared" si="1"/>
        <v>0.7217598097502973</v>
      </c>
      <c r="Z14" s="3">
        <f t="shared" si="1"/>
        <v>0.72068965517241379</v>
      </c>
      <c r="AA14" s="3">
        <f t="shared" si="1"/>
        <v>0.84827586206896555</v>
      </c>
      <c r="AB14" s="3">
        <f t="shared" si="1"/>
        <v>0.80020283975659234</v>
      </c>
      <c r="AC14" s="3">
        <f t="shared" si="1"/>
        <v>0.82183908045977017</v>
      </c>
      <c r="AD14" s="3">
        <f t="shared" si="1"/>
        <v>0.94018674308958117</v>
      </c>
      <c r="AE14" s="3">
        <f t="shared" si="1"/>
        <v>0.76657824933687002</v>
      </c>
      <c r="AF14" s="3">
        <f t="shared" si="1"/>
        <v>0.77093596059113301</v>
      </c>
      <c r="AG14" s="3">
        <f t="shared" si="1"/>
        <v>0.93563218390804592</v>
      </c>
      <c r="AH14" s="3">
        <f t="shared" si="1"/>
        <v>0.86321839080459772</v>
      </c>
      <c r="AI14" s="3">
        <f t="shared" si="1"/>
        <v>0.86137931034482762</v>
      </c>
      <c r="AJ14" s="3">
        <f t="shared" si="1"/>
        <v>0.90134099616858232</v>
      </c>
      <c r="AK14" s="3">
        <f t="shared" si="1"/>
        <v>0.92089249492900604</v>
      </c>
      <c r="AL14" s="6">
        <f t="shared" si="1"/>
        <v>0.73509155047875019</v>
      </c>
      <c r="AM14" s="3">
        <f t="shared" si="1"/>
        <v>0.70296141738048168</v>
      </c>
      <c r="AN14" s="3">
        <f t="shared" si="1"/>
        <v>0.74807302231237327</v>
      </c>
      <c r="AO14" s="3">
        <f t="shared" si="1"/>
        <v>0.83546422116607533</v>
      </c>
      <c r="AP14" s="3">
        <f t="shared" si="1"/>
        <v>0.83867803516185013</v>
      </c>
      <c r="AQ14" s="3">
        <f t="shared" si="1"/>
        <v>0.7135169581533668</v>
      </c>
      <c r="AR14" s="3">
        <f t="shared" si="1"/>
        <v>0.76285240464344939</v>
      </c>
    </row>
    <row r="15" spans="1:47" x14ac:dyDescent="0.2">
      <c r="A15" s="20"/>
      <c r="B15" s="20">
        <v>1</v>
      </c>
      <c r="C15" s="20">
        <v>1</v>
      </c>
      <c r="D15" s="20">
        <v>1</v>
      </c>
      <c r="E15" s="20"/>
      <c r="F15" s="20">
        <v>1</v>
      </c>
      <c r="G15" s="20">
        <v>1</v>
      </c>
      <c r="H15" s="20">
        <v>1</v>
      </c>
      <c r="I15" s="20">
        <v>1</v>
      </c>
      <c r="J15" s="20"/>
      <c r="K15" s="20">
        <v>1</v>
      </c>
      <c r="L15" s="20"/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>
        <v>1</v>
      </c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20">
        <v>1</v>
      </c>
      <c r="AK15" s="20">
        <v>1</v>
      </c>
      <c r="AL15" s="95">
        <f>SUM(B15:AK15)</f>
        <v>33</v>
      </c>
      <c r="AM15" s="20">
        <f>+AC15+S15+X15+AD15+AG15+U15+AJ15</f>
        <v>7</v>
      </c>
      <c r="AN15" s="20">
        <f>+D15+I15+O15+R15+T15+Z15+E15+Y15+AH15+F15</f>
        <v>9</v>
      </c>
      <c r="AO15">
        <f>+B15+Q15+AE15+AK15+AI15+L15+M15+W15+V15+AB15+N15+K15+H15+G15+J15+P15+C15+AA15+AF15</f>
        <v>17</v>
      </c>
      <c r="AP15" s="20">
        <f>+R15+W15+Z15+AK15+O15+I15+F15</f>
        <v>7</v>
      </c>
      <c r="AQ15" s="20">
        <f>+B15+D15+K15+L15+M15+Q15+S15+T15+X15+AC15+AD15+AE15+AG15+AI15+U15+E15+AJ15+Y15+N15+G15+AH15+AA15+AF15</f>
        <v>21</v>
      </c>
      <c r="AR15" s="20">
        <f>+AB15+V15+H15+J15+P15+C15</f>
        <v>5</v>
      </c>
    </row>
    <row r="16" spans="1:47" x14ac:dyDescent="0.2">
      <c r="I16" t="s">
        <v>15</v>
      </c>
      <c r="AK16" t="s">
        <v>15</v>
      </c>
    </row>
    <row r="17" spans="1:47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/>
      <c r="AC17" s="1"/>
      <c r="AD17" s="1"/>
      <c r="AE17" s="1"/>
      <c r="AF17" s="1"/>
      <c r="AG17" s="1"/>
      <c r="AH17" s="1"/>
      <c r="AL17" s="5"/>
    </row>
    <row r="18" spans="1:47" x14ac:dyDescent="0.2">
      <c r="A18" t="s">
        <v>1</v>
      </c>
      <c r="B18" s="38">
        <v>713</v>
      </c>
      <c r="C18" s="38">
        <v>1240</v>
      </c>
      <c r="D18" s="38">
        <v>1643</v>
      </c>
      <c r="E18" s="38"/>
      <c r="F18" s="38">
        <v>3317</v>
      </c>
      <c r="G18" s="38">
        <v>527</v>
      </c>
      <c r="H18" s="38">
        <v>526</v>
      </c>
      <c r="I18" s="38">
        <v>2542</v>
      </c>
      <c r="J18" s="38"/>
      <c r="K18" s="38">
        <v>2015</v>
      </c>
      <c r="L18" s="38"/>
      <c r="M18" s="38">
        <v>930</v>
      </c>
      <c r="N18" s="38">
        <v>434</v>
      </c>
      <c r="O18" s="38">
        <v>2232</v>
      </c>
      <c r="P18" s="38">
        <v>434</v>
      </c>
      <c r="Q18" s="38">
        <v>682</v>
      </c>
      <c r="R18" s="38">
        <v>3007</v>
      </c>
      <c r="S18" s="38">
        <v>8246</v>
      </c>
      <c r="T18" s="38">
        <v>3441</v>
      </c>
      <c r="U18" s="38">
        <v>5611</v>
      </c>
      <c r="V18" s="38">
        <v>1426</v>
      </c>
      <c r="W18" s="38">
        <v>775</v>
      </c>
      <c r="X18" s="38">
        <v>14384</v>
      </c>
      <c r="Y18" s="38">
        <v>1798</v>
      </c>
      <c r="Z18" s="38">
        <v>1240</v>
      </c>
      <c r="AA18" s="38">
        <v>620</v>
      </c>
      <c r="AB18" s="38">
        <v>2108</v>
      </c>
      <c r="AC18" s="38">
        <v>5580</v>
      </c>
      <c r="AD18" s="38">
        <v>11563</v>
      </c>
      <c r="AE18" s="38">
        <v>403</v>
      </c>
      <c r="AF18" s="38">
        <v>434</v>
      </c>
      <c r="AG18" s="38">
        <v>7440</v>
      </c>
      <c r="AH18" s="38">
        <v>1860</v>
      </c>
      <c r="AI18" s="38">
        <v>1450</v>
      </c>
      <c r="AJ18" s="38">
        <v>5549</v>
      </c>
      <c r="AK18" s="38">
        <v>1054</v>
      </c>
      <c r="AL18" s="97">
        <f>SUM(B18:AK18)</f>
        <v>95224</v>
      </c>
      <c r="AM18">
        <f>+AC18+S18+X18+AD18+AG18+U18+AJ18</f>
        <v>58373</v>
      </c>
      <c r="AN18" s="20">
        <f>+D18+I18+O18+R18+T18+Z18+E18+Y18+AH18+F18</f>
        <v>21080</v>
      </c>
      <c r="AO18">
        <f>+B18+Q18+AE18+AK18+AI18+L18+M18+W18+V18+AB18+N18+K18+H18+G18+J18+P18+C18+AA18+AF18</f>
        <v>15771</v>
      </c>
      <c r="AP18">
        <f>+R18+W18+Z18+AK18+O18+I18+F18</f>
        <v>14167</v>
      </c>
      <c r="AQ18" s="20">
        <f>+B18+D18+K18+L18+M18+Q18+S18+T18+X18+AC18+AD18+AE18+AG18+AI18+U18+E18+AJ18+Y18+N18+G18+AH18+AA18+AF18</f>
        <v>75323</v>
      </c>
      <c r="AR18" s="20">
        <f>+AB18+V18+H18+J18+P18+C18</f>
        <v>5734</v>
      </c>
      <c r="AS18">
        <f>+AM18+AN18+AO18</f>
        <v>95224</v>
      </c>
      <c r="AT18">
        <f>+AP18+AQ18+AR18</f>
        <v>95224</v>
      </c>
      <c r="AU18">
        <f>+AR18+AQ18+AP18</f>
        <v>95224</v>
      </c>
    </row>
    <row r="19" spans="1:47" x14ac:dyDescent="0.2">
      <c r="A19" t="s">
        <v>2</v>
      </c>
      <c r="B19" s="38">
        <v>535</v>
      </c>
      <c r="C19" s="38">
        <v>861</v>
      </c>
      <c r="D19" s="38">
        <v>871</v>
      </c>
      <c r="E19" s="38"/>
      <c r="F19" s="38">
        <v>2504</v>
      </c>
      <c r="G19" s="38">
        <v>480</v>
      </c>
      <c r="H19" s="38">
        <v>336</v>
      </c>
      <c r="I19" s="38">
        <v>1634</v>
      </c>
      <c r="J19" s="38"/>
      <c r="K19" s="38">
        <v>1894</v>
      </c>
      <c r="L19" s="38"/>
      <c r="M19" s="38">
        <v>783</v>
      </c>
      <c r="N19" s="38">
        <v>217</v>
      </c>
      <c r="O19" s="38">
        <v>1473</v>
      </c>
      <c r="P19" s="38">
        <v>250</v>
      </c>
      <c r="Q19" s="38">
        <v>363</v>
      </c>
      <c r="R19" s="38">
        <v>2806</v>
      </c>
      <c r="S19" s="38">
        <v>1179</v>
      </c>
      <c r="T19" s="38">
        <v>998</v>
      </c>
      <c r="U19" s="38">
        <v>3254</v>
      </c>
      <c r="V19" s="38">
        <f>+V18*0.76</f>
        <v>1083.76</v>
      </c>
      <c r="W19" s="38">
        <v>651</v>
      </c>
      <c r="X19" s="38">
        <v>9206</v>
      </c>
      <c r="Y19" s="38">
        <v>1151</v>
      </c>
      <c r="Z19" s="38">
        <v>813</v>
      </c>
      <c r="AA19" s="38">
        <v>453</v>
      </c>
      <c r="AB19" s="38">
        <v>1686</v>
      </c>
      <c r="AC19" s="38">
        <v>4730</v>
      </c>
      <c r="AD19" s="38">
        <v>10772</v>
      </c>
      <c r="AE19" s="38">
        <v>279</v>
      </c>
      <c r="AF19" s="38">
        <v>269</v>
      </c>
      <c r="AG19" s="38">
        <v>6603</v>
      </c>
      <c r="AH19" s="38">
        <v>1561</v>
      </c>
      <c r="AI19" s="38">
        <v>1283</v>
      </c>
      <c r="AJ19" s="38">
        <v>5173</v>
      </c>
      <c r="AK19" s="38">
        <v>835</v>
      </c>
      <c r="AL19" s="97">
        <f>SUM(B19:AK19)</f>
        <v>66986.759999999995</v>
      </c>
      <c r="AM19">
        <f>+AC19+S19+X19+AD19+AG19+U19+AJ19</f>
        <v>40917</v>
      </c>
      <c r="AN19" s="48">
        <f>+D19+I19+O19+R19+T19+Z19+E19+Y19+AH19+F19</f>
        <v>13811</v>
      </c>
      <c r="AO19">
        <f>+B19+Q19+AE19+AK19+AI19+L19+M19+W19+V19+AB19+N19+K19+H19+G19+J19+P19+C19+AA19+AF19</f>
        <v>12258.76</v>
      </c>
      <c r="AP19">
        <f>+R19+W19+Z19+AK19+O19+I19+F19</f>
        <v>10716</v>
      </c>
      <c r="AQ19" s="20">
        <f>+B19+D19+K19+L19+M19+Q19+S19+T19+X19+AC19+AD19+AE19+AG19+AI19+U19+E19+AJ19+Y19+N19+G19+AH19+AA19+AF19</f>
        <v>52054</v>
      </c>
      <c r="AR19" s="20">
        <f>+AB19+V19+H19+J19+P19+C19</f>
        <v>4216.76</v>
      </c>
      <c r="AS19">
        <f>+AM19+AN19+AO19</f>
        <v>66986.759999999995</v>
      </c>
      <c r="AT19">
        <f>+AP19+AQ19+AR19</f>
        <v>66986.759999999995</v>
      </c>
      <c r="AU19">
        <f>+AR19+AQ19+AP19</f>
        <v>66986.760000000009</v>
      </c>
    </row>
    <row r="20" spans="1:47" x14ac:dyDescent="0.2">
      <c r="A20" t="s">
        <v>4</v>
      </c>
      <c r="B20" s="3">
        <f>+B19/B18</f>
        <v>0.75035063113604483</v>
      </c>
      <c r="C20" s="3">
        <f>+C19/C18</f>
        <v>0.6943548387096774</v>
      </c>
      <c r="D20" s="3">
        <f>+D19/D18</f>
        <v>0.53012781497261108</v>
      </c>
      <c r="E20" s="3"/>
      <c r="F20" s="3">
        <f>+F19/F18</f>
        <v>0.7548990051251131</v>
      </c>
      <c r="G20" s="3">
        <f>+G19/G18</f>
        <v>0.91081593927893734</v>
      </c>
      <c r="H20" s="3">
        <f t="shared" ref="H20:AR20" si="2">+H19/H18</f>
        <v>0.63878326996197721</v>
      </c>
      <c r="I20" s="3">
        <f t="shared" si="2"/>
        <v>0.64280094413847366</v>
      </c>
      <c r="J20" s="3"/>
      <c r="K20" s="3">
        <f t="shared" si="2"/>
        <v>0.93995037220843669</v>
      </c>
      <c r="L20" s="3"/>
      <c r="M20" s="3">
        <f t="shared" si="2"/>
        <v>0.84193548387096773</v>
      </c>
      <c r="N20" s="3">
        <f t="shared" si="2"/>
        <v>0.5</v>
      </c>
      <c r="O20" s="3">
        <f t="shared" si="2"/>
        <v>0.65994623655913975</v>
      </c>
      <c r="P20" s="3">
        <f t="shared" si="2"/>
        <v>0.57603686635944695</v>
      </c>
      <c r="Q20" s="3">
        <f t="shared" si="2"/>
        <v>0.532258064516129</v>
      </c>
      <c r="R20" s="3">
        <f t="shared" si="2"/>
        <v>0.93315596940472234</v>
      </c>
      <c r="S20" s="3">
        <f t="shared" si="2"/>
        <v>0.14297841377637643</v>
      </c>
      <c r="T20" s="3">
        <f t="shared" si="2"/>
        <v>0.29003196745132231</v>
      </c>
      <c r="U20" s="3">
        <f t="shared" si="2"/>
        <v>0.57993227588665119</v>
      </c>
      <c r="V20" s="3">
        <f t="shared" si="2"/>
        <v>0.76</v>
      </c>
      <c r="W20" s="3">
        <f t="shared" si="2"/>
        <v>0.84</v>
      </c>
      <c r="X20" s="3">
        <f t="shared" si="2"/>
        <v>0.64001668520578425</v>
      </c>
      <c r="Y20" s="3">
        <f t="shared" si="2"/>
        <v>0.64015572858731928</v>
      </c>
      <c r="Z20" s="3">
        <f t="shared" si="2"/>
        <v>0.65564516129032258</v>
      </c>
      <c r="AA20" s="3">
        <f t="shared" si="2"/>
        <v>0.73064516129032253</v>
      </c>
      <c r="AB20" s="3">
        <f t="shared" si="2"/>
        <v>0.79981024667931688</v>
      </c>
      <c r="AC20" s="3">
        <f t="shared" si="2"/>
        <v>0.8476702508960573</v>
      </c>
      <c r="AD20" s="3">
        <f t="shared" si="2"/>
        <v>0.93159214736660034</v>
      </c>
      <c r="AE20" s="3">
        <f t="shared" si="2"/>
        <v>0.69230769230769229</v>
      </c>
      <c r="AF20" s="3">
        <f t="shared" si="2"/>
        <v>0.61981566820276501</v>
      </c>
      <c r="AG20" s="3">
        <f t="shared" si="2"/>
        <v>0.88749999999999996</v>
      </c>
      <c r="AH20" s="3">
        <f t="shared" si="2"/>
        <v>0.83924731182795698</v>
      </c>
      <c r="AI20" s="3">
        <f t="shared" si="2"/>
        <v>0.8848275862068965</v>
      </c>
      <c r="AJ20" s="3">
        <f t="shared" si="2"/>
        <v>0.93224004325103627</v>
      </c>
      <c r="AK20" s="3">
        <f t="shared" si="2"/>
        <v>0.79222011385199242</v>
      </c>
      <c r="AL20" s="6">
        <f t="shared" si="2"/>
        <v>0.70346509283373937</v>
      </c>
      <c r="AM20" s="3">
        <f t="shared" si="2"/>
        <v>0.70095763452281024</v>
      </c>
      <c r="AN20" s="3">
        <f t="shared" si="2"/>
        <v>0.65517077798861478</v>
      </c>
      <c r="AO20" s="3">
        <f t="shared" si="2"/>
        <v>0.77729757149197898</v>
      </c>
      <c r="AP20" s="3">
        <f t="shared" si="2"/>
        <v>0.75640573162984404</v>
      </c>
      <c r="AQ20" s="3">
        <f t="shared" si="2"/>
        <v>0.69107709464572575</v>
      </c>
      <c r="AR20" s="3">
        <f t="shared" si="2"/>
        <v>0.73539588419951174</v>
      </c>
    </row>
    <row r="21" spans="1:47" x14ac:dyDescent="0.2">
      <c r="A21" s="20"/>
      <c r="B21" s="20">
        <v>1</v>
      </c>
      <c r="C21" s="20">
        <v>1</v>
      </c>
      <c r="D21" s="20">
        <v>1</v>
      </c>
      <c r="E21" s="20"/>
      <c r="F21" s="20">
        <v>1</v>
      </c>
      <c r="G21" s="20">
        <v>1</v>
      </c>
      <c r="H21" s="20">
        <v>1</v>
      </c>
      <c r="I21" s="20">
        <v>1</v>
      </c>
      <c r="J21" s="20"/>
      <c r="K21" s="20">
        <v>1</v>
      </c>
      <c r="L21" s="20"/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>
        <v>1</v>
      </c>
      <c r="AA21" s="20">
        <v>1</v>
      </c>
      <c r="AB21" s="39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20">
        <v>1</v>
      </c>
      <c r="AK21" s="20">
        <v>1</v>
      </c>
      <c r="AL21" s="97">
        <f>SUM(B21:AK21)</f>
        <v>33</v>
      </c>
      <c r="AM21" s="20">
        <f>+AC21+S21+X21+AD21+AG21+U21+AJ21</f>
        <v>7</v>
      </c>
      <c r="AN21" s="20">
        <f>+D21+I21+O21+R21+T21+Z21+E21+Y21+AH21+F21</f>
        <v>9</v>
      </c>
      <c r="AO21">
        <f>+B21+Q21+AE21+AK21+AI21+L21+M21+W21+V21+AB21+N21+K21+H21+G21+J21+P21+C21+AA21+AF21</f>
        <v>17</v>
      </c>
      <c r="AP21" s="20">
        <f>+R21+W21+Z21+AK21+O21+I21+F21</f>
        <v>7</v>
      </c>
      <c r="AQ21" s="20">
        <f>+B21+D21+K21+L21+M21+Q21+S21+T21+X21+AC21+AD21+AE21+AG21+AI21+U21+E21+AJ21+Y21+N21+G21+AH21+AA21+AF21</f>
        <v>21</v>
      </c>
      <c r="AR21" s="20">
        <f>+AB21+V21+H21+J21+P21+C21</f>
        <v>5</v>
      </c>
    </row>
    <row r="22" spans="1:47" x14ac:dyDescent="0.2">
      <c r="B22" s="38"/>
      <c r="C22" s="38"/>
    </row>
    <row r="23" spans="1:47" x14ac:dyDescent="0.2">
      <c r="A23" s="2" t="s">
        <v>56</v>
      </c>
      <c r="B23" s="38"/>
      <c r="C23" s="38" t="s">
        <v>15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C23" s="1"/>
      <c r="AD23" s="1"/>
      <c r="AE23" s="1"/>
      <c r="AF23" s="1"/>
      <c r="AG23" s="1"/>
      <c r="AH23" s="1"/>
      <c r="AL23" s="5"/>
    </row>
    <row r="24" spans="1:47" x14ac:dyDescent="0.2">
      <c r="A24" t="s">
        <v>1</v>
      </c>
      <c r="B24" s="38">
        <f>713/31*30</f>
        <v>690</v>
      </c>
      <c r="C24" s="38">
        <f>30*40</f>
        <v>1200</v>
      </c>
      <c r="D24" s="38">
        <f>1643/31*30</f>
        <v>1590</v>
      </c>
      <c r="E24" s="38"/>
      <c r="F24" s="38">
        <f>3317/31*30</f>
        <v>3210</v>
      </c>
      <c r="G24" s="38">
        <f>527/31*30</f>
        <v>510</v>
      </c>
      <c r="H24" s="38">
        <v>510</v>
      </c>
      <c r="I24" s="38">
        <f>2542/31*30</f>
        <v>2460</v>
      </c>
      <c r="J24" s="38"/>
      <c r="K24" s="38">
        <v>1950</v>
      </c>
      <c r="L24" s="38"/>
      <c r="M24" s="38">
        <v>900</v>
      </c>
      <c r="N24" s="38">
        <f>434/31*30</f>
        <v>420</v>
      </c>
      <c r="O24" s="38">
        <v>2160</v>
      </c>
      <c r="P24" s="38">
        <v>420</v>
      </c>
      <c r="Q24" s="38">
        <v>690</v>
      </c>
      <c r="R24" s="38">
        <v>2910</v>
      </c>
      <c r="S24" s="38">
        <f>8246/31*30</f>
        <v>7980</v>
      </c>
      <c r="T24" s="38">
        <f>3441/31*30</f>
        <v>3330</v>
      </c>
      <c r="U24" s="38">
        <f>202*30</f>
        <v>6060</v>
      </c>
      <c r="V24" s="38">
        <f>1426/31*30</f>
        <v>1380</v>
      </c>
      <c r="W24" s="38">
        <f>775/31*30</f>
        <v>750</v>
      </c>
      <c r="X24" s="38">
        <f>14384/31*30</f>
        <v>13920</v>
      </c>
      <c r="Y24" s="38">
        <f>1798/31*30</f>
        <v>1740</v>
      </c>
      <c r="Z24" s="38">
        <f>1240/31*30</f>
        <v>1200</v>
      </c>
      <c r="AA24" s="38">
        <v>600</v>
      </c>
      <c r="AB24" s="38">
        <f>2108/31*30</f>
        <v>2040</v>
      </c>
      <c r="AC24" s="38">
        <f>5580/31*30</f>
        <v>5400</v>
      </c>
      <c r="AD24" s="38">
        <v>11190</v>
      </c>
      <c r="AE24" s="38">
        <v>390</v>
      </c>
      <c r="AF24" s="38">
        <v>420</v>
      </c>
      <c r="AG24" s="38">
        <v>7200</v>
      </c>
      <c r="AH24" s="38">
        <f>1860/31*30</f>
        <v>1800</v>
      </c>
      <c r="AI24" s="38">
        <v>1500</v>
      </c>
      <c r="AJ24" s="38">
        <v>5370</v>
      </c>
      <c r="AK24" s="38">
        <f>1054/31*30</f>
        <v>1020</v>
      </c>
      <c r="AL24" s="92">
        <f>SUM(B24:AK24)</f>
        <v>92910</v>
      </c>
      <c r="AM24">
        <f>+AC24+S24+X24+AD24+AG24+U24+AJ24</f>
        <v>57120</v>
      </c>
      <c r="AN24" s="20">
        <f>+D24+I24+O24+R24+T24+Z24+E24+Y24+AH24+F24</f>
        <v>20400</v>
      </c>
      <c r="AO24">
        <f>+B24+Q24+AE24+AK24+AI24+L24+M24+W24+V24+AB24+N24+K24+H24+G24+J24+P24+C24+AA24+AF24</f>
        <v>15390</v>
      </c>
      <c r="AP24">
        <f>+R24+W24+Z24+AK24+O24+I24+F24</f>
        <v>13710</v>
      </c>
      <c r="AQ24" s="20">
        <f>+B24+D24+K24+L24+M24+Q24+S24+T24+X24+AC24+AD24+AE24+AG24+AI24+U24+E24+AJ24+Y24+N24+G24+AH24+AA24+AF24</f>
        <v>73650</v>
      </c>
      <c r="AR24" s="20">
        <f>+AB24+V24+H24+J24+P24+C24</f>
        <v>5550</v>
      </c>
      <c r="AS24">
        <f>+AM24+AN24+AO24</f>
        <v>92910</v>
      </c>
      <c r="AT24">
        <f>+AP24+AQ24+AR24</f>
        <v>92910</v>
      </c>
      <c r="AU24">
        <f>+AR24+AQ24+AP24</f>
        <v>92910</v>
      </c>
    </row>
    <row r="25" spans="1:47" x14ac:dyDescent="0.2">
      <c r="A25" t="s">
        <v>2</v>
      </c>
      <c r="B25" s="38">
        <v>476</v>
      </c>
      <c r="C25" s="38">
        <v>778</v>
      </c>
      <c r="D25" s="38">
        <v>557</v>
      </c>
      <c r="E25" s="38"/>
      <c r="F25" s="38">
        <v>2440</v>
      </c>
      <c r="G25" s="38">
        <v>378</v>
      </c>
      <c r="H25" s="38">
        <v>314</v>
      </c>
      <c r="I25" s="38">
        <v>1422</v>
      </c>
      <c r="J25" s="38"/>
      <c r="K25" s="38">
        <f>+K24*0.9</f>
        <v>1755</v>
      </c>
      <c r="L25" s="38"/>
      <c r="M25" s="38">
        <v>779</v>
      </c>
      <c r="N25" s="38">
        <v>252</v>
      </c>
      <c r="O25" s="38">
        <v>1389</v>
      </c>
      <c r="P25" s="38">
        <v>269</v>
      </c>
      <c r="Q25" s="38">
        <v>216</v>
      </c>
      <c r="R25" s="38">
        <v>2637</v>
      </c>
      <c r="S25" s="38">
        <v>319</v>
      </c>
      <c r="T25" s="38">
        <v>966</v>
      </c>
      <c r="U25" s="38">
        <f>+U24*0.45</f>
        <v>2727</v>
      </c>
      <c r="V25" s="38">
        <v>880</v>
      </c>
      <c r="W25" s="38">
        <v>645</v>
      </c>
      <c r="X25" s="38">
        <v>4454</v>
      </c>
      <c r="Y25" s="38">
        <v>642</v>
      </c>
      <c r="Z25" s="38">
        <v>908</v>
      </c>
      <c r="AA25" s="38">
        <f>+AA24*0.8</f>
        <v>480</v>
      </c>
      <c r="AB25">
        <v>1387</v>
      </c>
      <c r="AC25" s="38">
        <v>2882</v>
      </c>
      <c r="AD25" s="38">
        <v>9413</v>
      </c>
      <c r="AE25" s="38">
        <v>213</v>
      </c>
      <c r="AF25" s="38">
        <v>155</v>
      </c>
      <c r="AG25" s="38">
        <v>6629</v>
      </c>
      <c r="AH25" s="38">
        <v>1013</v>
      </c>
      <c r="AI25" s="38">
        <v>1136</v>
      </c>
      <c r="AJ25" s="38">
        <v>4881</v>
      </c>
      <c r="AK25" s="38">
        <v>471</v>
      </c>
      <c r="AL25" s="92">
        <f>SUM(B25:AK25)</f>
        <v>53863</v>
      </c>
      <c r="AM25">
        <f>+AC25+S25+X25+AD25+AG25+U25+AJ25</f>
        <v>31305</v>
      </c>
      <c r="AN25" s="48">
        <f>+D25+I25+O25+R25+T25+Z25+E25+Y25+AH25+F25</f>
        <v>11974</v>
      </c>
      <c r="AO25">
        <f>+B25+Q25+AE25+AK25+AI25+L25+M25+W25+V25+AB25+N25+K25+H25+G25+J25+P25+C25+AA25+AF25</f>
        <v>10584</v>
      </c>
      <c r="AP25">
        <f>+R25+W25+Z25+AK25+O25+I25+F25</f>
        <v>9912</v>
      </c>
      <c r="AQ25" s="20">
        <f>+B25+D25+K25+L25+M25+Q25+S25+T25+X25+AC25+AD25+AE25+AG25+AI25+U25+E25+AJ25+Y25+N25+G25+AH25+AA25+AF25</f>
        <v>40323</v>
      </c>
      <c r="AR25" s="20">
        <f>+AB25+V25+H25+J25+P25+C25</f>
        <v>3628</v>
      </c>
      <c r="AS25">
        <f>+AM25+AN25+AO25</f>
        <v>53863</v>
      </c>
      <c r="AT25">
        <f>+AP25+AQ25+AR25</f>
        <v>53863</v>
      </c>
      <c r="AU25">
        <f>+AR25+AQ25+AP25</f>
        <v>53863</v>
      </c>
    </row>
    <row r="26" spans="1:47" x14ac:dyDescent="0.2">
      <c r="A26" t="s">
        <v>4</v>
      </c>
      <c r="B26" s="3">
        <f>+B25/B24</f>
        <v>0.68985507246376809</v>
      </c>
      <c r="C26" s="3">
        <f>+C25/C24</f>
        <v>0.64833333333333332</v>
      </c>
      <c r="D26" s="3">
        <f>+D25/D24</f>
        <v>0.35031446540880501</v>
      </c>
      <c r="E26" s="3"/>
      <c r="F26" s="3">
        <f>+F25/F24</f>
        <v>0.76012461059190028</v>
      </c>
      <c r="G26" s="3">
        <f>+G25/G24</f>
        <v>0.74117647058823533</v>
      </c>
      <c r="H26" s="3">
        <f t="shared" ref="H26:AR26" si="3">+H25/H24</f>
        <v>0.61568627450980395</v>
      </c>
      <c r="I26" s="3">
        <f t="shared" si="3"/>
        <v>0.57804878048780484</v>
      </c>
      <c r="J26" s="3"/>
      <c r="K26" s="3">
        <f t="shared" si="3"/>
        <v>0.9</v>
      </c>
      <c r="L26" s="3"/>
      <c r="M26" s="3">
        <f t="shared" si="3"/>
        <v>0.86555555555555552</v>
      </c>
      <c r="N26" s="3">
        <f t="shared" si="3"/>
        <v>0.6</v>
      </c>
      <c r="O26" s="3">
        <f t="shared" si="3"/>
        <v>0.6430555555555556</v>
      </c>
      <c r="P26" s="3">
        <f t="shared" si="3"/>
        <v>0.64047619047619042</v>
      </c>
      <c r="Q26" s="3">
        <f>+Q25/Q24</f>
        <v>0.31304347826086959</v>
      </c>
      <c r="R26" s="3">
        <f t="shared" si="3"/>
        <v>0.90618556701030928</v>
      </c>
      <c r="S26" s="3">
        <f>+S25/S24</f>
        <v>3.9974937343358399E-2</v>
      </c>
      <c r="T26" s="3">
        <f t="shared" si="3"/>
        <v>0.29009009009009007</v>
      </c>
      <c r="U26" s="3">
        <f t="shared" si="3"/>
        <v>0.45</v>
      </c>
      <c r="V26" s="3">
        <f t="shared" si="3"/>
        <v>0.6376811594202898</v>
      </c>
      <c r="W26" s="3">
        <f t="shared" si="3"/>
        <v>0.86</v>
      </c>
      <c r="X26" s="3">
        <f t="shared" si="3"/>
        <v>0.31997126436781609</v>
      </c>
      <c r="Y26" s="3">
        <f t="shared" si="3"/>
        <v>0.36896551724137933</v>
      </c>
      <c r="Z26" s="3">
        <f t="shared" si="3"/>
        <v>0.75666666666666671</v>
      </c>
      <c r="AA26" s="3">
        <f t="shared" si="3"/>
        <v>0.8</v>
      </c>
      <c r="AB26" s="3">
        <f t="shared" si="3"/>
        <v>0.67990196078431375</v>
      </c>
      <c r="AC26" s="3">
        <f t="shared" si="3"/>
        <v>0.53370370370370368</v>
      </c>
      <c r="AD26" s="3">
        <f t="shared" si="3"/>
        <v>0.84119749776586239</v>
      </c>
      <c r="AE26" s="3">
        <f t="shared" si="3"/>
        <v>0.5461538461538461</v>
      </c>
      <c r="AF26" s="3">
        <f t="shared" si="3"/>
        <v>0.36904761904761907</v>
      </c>
      <c r="AG26" s="3">
        <f t="shared" si="3"/>
        <v>0.92069444444444448</v>
      </c>
      <c r="AH26" s="3">
        <f t="shared" si="3"/>
        <v>0.56277777777777782</v>
      </c>
      <c r="AI26" s="3">
        <f t="shared" si="3"/>
        <v>0.7573333333333333</v>
      </c>
      <c r="AJ26" s="3">
        <f t="shared" si="3"/>
        <v>0.90893854748603353</v>
      </c>
      <c r="AK26" s="3">
        <f t="shared" si="3"/>
        <v>0.46176470588235297</v>
      </c>
      <c r="AL26" s="6">
        <f t="shared" si="3"/>
        <v>0.57973307501883542</v>
      </c>
      <c r="AM26" s="3">
        <f t="shared" si="3"/>
        <v>0.54805672268907568</v>
      </c>
      <c r="AN26" s="3">
        <f t="shared" si="3"/>
        <v>0.58696078431372545</v>
      </c>
      <c r="AO26" s="3">
        <f t="shared" si="3"/>
        <v>0.68771929824561406</v>
      </c>
      <c r="AP26" s="3">
        <f t="shared" si="3"/>
        <v>0.72297592997811821</v>
      </c>
      <c r="AQ26" s="3">
        <f t="shared" si="3"/>
        <v>0.54749490835030545</v>
      </c>
      <c r="AR26" s="3">
        <f t="shared" si="3"/>
        <v>0.65369369369369368</v>
      </c>
    </row>
    <row r="27" spans="1:47" x14ac:dyDescent="0.2">
      <c r="A27" s="20"/>
      <c r="B27" s="20">
        <v>1</v>
      </c>
      <c r="C27" s="20">
        <v>1</v>
      </c>
      <c r="D27" s="20">
        <v>1</v>
      </c>
      <c r="E27" s="20"/>
      <c r="F27" s="20">
        <v>1</v>
      </c>
      <c r="G27" s="20">
        <v>1</v>
      </c>
      <c r="H27" s="20">
        <v>1</v>
      </c>
      <c r="I27" s="20">
        <v>1</v>
      </c>
      <c r="J27" s="20"/>
      <c r="K27" s="20">
        <v>1</v>
      </c>
      <c r="L27" s="20"/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20">
        <v>1</v>
      </c>
      <c r="AK27" s="20">
        <v>1</v>
      </c>
      <c r="AL27" s="92">
        <f>SUM(B27:AK27)</f>
        <v>33</v>
      </c>
      <c r="AM27" s="20">
        <f>+AC27+S27+X27+AD27+AG27+U27+AJ27</f>
        <v>7</v>
      </c>
      <c r="AN27" s="20">
        <f>+D27+I27+O27+R27+T27+Z27+E27+Y27+AH27+F27</f>
        <v>9</v>
      </c>
      <c r="AO27">
        <f>+B27+Q27+AE27+AK27+AI27+L27+M27+W27+V27+AB27+N27+K27+H27+G27+J27+P27+C27+AA27+AF27</f>
        <v>17</v>
      </c>
      <c r="AP27" s="20">
        <f>+R27+W27+Z27+AK27+O27+I27+F27</f>
        <v>7</v>
      </c>
      <c r="AQ27" s="20">
        <f>+B27+D27+K27+L27+M27+Q27+S27+T27+X27+AC27+AD27+AE27+AG27+AI27+U27+E27+AJ27+Y27+N27+G27+AH27+AA27+AF27</f>
        <v>21</v>
      </c>
      <c r="AR27" s="20">
        <f>+AB27+V27+H27+J27+P27+C27</f>
        <v>5</v>
      </c>
    </row>
    <row r="29" spans="1:47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C29" s="1"/>
      <c r="AD29" s="1"/>
      <c r="AE29" s="1"/>
      <c r="AF29" s="1"/>
      <c r="AG29" s="1"/>
      <c r="AH29" s="1"/>
      <c r="AL29" s="5"/>
    </row>
    <row r="30" spans="1:47" x14ac:dyDescent="0.2">
      <c r="A30" t="s">
        <v>1</v>
      </c>
      <c r="B30" s="38">
        <v>713</v>
      </c>
      <c r="C30" s="38">
        <v>1240</v>
      </c>
      <c r="D30" s="38">
        <v>1643</v>
      </c>
      <c r="E30" s="38"/>
      <c r="F30" s="38">
        <v>3317</v>
      </c>
      <c r="G30" s="38">
        <v>527</v>
      </c>
      <c r="H30" s="38">
        <v>527</v>
      </c>
      <c r="I30" s="38">
        <v>2542</v>
      </c>
      <c r="J30" s="38"/>
      <c r="K30" s="38">
        <v>2015</v>
      </c>
      <c r="L30" s="38"/>
      <c r="M30" s="38">
        <v>930</v>
      </c>
      <c r="N30" s="38">
        <v>434</v>
      </c>
      <c r="O30" s="38">
        <v>2232</v>
      </c>
      <c r="P30" s="38">
        <v>434</v>
      </c>
      <c r="Q30" s="38">
        <v>0</v>
      </c>
      <c r="R30" s="38">
        <v>3007</v>
      </c>
      <c r="S30" s="38">
        <v>8246</v>
      </c>
      <c r="T30" s="38">
        <v>3441</v>
      </c>
      <c r="U30" s="38">
        <v>5611</v>
      </c>
      <c r="V30" s="38">
        <v>1426</v>
      </c>
      <c r="W30" s="38">
        <v>775</v>
      </c>
      <c r="X30" s="38">
        <v>14384</v>
      </c>
      <c r="Y30" s="38">
        <v>1798</v>
      </c>
      <c r="Z30" s="38">
        <v>1240</v>
      </c>
      <c r="AA30" s="38">
        <v>620</v>
      </c>
      <c r="AB30" s="38">
        <v>2108</v>
      </c>
      <c r="AC30" s="38">
        <v>5580</v>
      </c>
      <c r="AD30" s="38">
        <v>11563</v>
      </c>
      <c r="AE30" s="38">
        <v>403</v>
      </c>
      <c r="AF30" s="38">
        <v>434</v>
      </c>
      <c r="AG30" s="38">
        <v>7440</v>
      </c>
      <c r="AH30" s="38">
        <v>1860</v>
      </c>
      <c r="AI30" s="38">
        <v>1550</v>
      </c>
      <c r="AJ30" s="38">
        <v>5549</v>
      </c>
      <c r="AK30" s="38">
        <v>1054</v>
      </c>
      <c r="AL30" s="92">
        <f>SUM(B30:AK30)</f>
        <v>94643</v>
      </c>
      <c r="AM30">
        <f>+AC30+S30+X30+AD30+AG30+U30+AJ30</f>
        <v>58373</v>
      </c>
      <c r="AN30" s="20">
        <f>+D30+I30+O30+R30+T30+Z30+E30+Y30+AH30+F30</f>
        <v>21080</v>
      </c>
      <c r="AO30">
        <f>+B30+Q30+AE30+AK30+AI30+L30+M30+W30+V30+AB30+N30+K30+H30+G30+J30+P30+C30+AA30+AF30</f>
        <v>15190</v>
      </c>
      <c r="AP30">
        <f>+R30+W30+Z30+AK30+O30+I30+F30</f>
        <v>14167</v>
      </c>
      <c r="AQ30" s="20">
        <f>+B30+D30+K30+L30+M30+Q30+S30+T30+X30+AC30+AD30+AE30+AG30+AI30+U30+E30+AJ30+Y30+N30+G30+AH30+AA30+AF30</f>
        <v>74741</v>
      </c>
      <c r="AR30" s="20">
        <f>+AB30+V30+H30+J30+P30+C30</f>
        <v>5735</v>
      </c>
      <c r="AS30">
        <f>+AM30+AN30+AO30</f>
        <v>94643</v>
      </c>
      <c r="AT30">
        <f>+AP30+AQ30+AR30</f>
        <v>94643</v>
      </c>
      <c r="AU30">
        <f>+AR30+AQ30+AP30</f>
        <v>94643</v>
      </c>
    </row>
    <row r="31" spans="1:47" x14ac:dyDescent="0.2">
      <c r="A31" t="s">
        <v>2</v>
      </c>
      <c r="B31" s="45">
        <v>157</v>
      </c>
      <c r="C31" s="45">
        <v>932</v>
      </c>
      <c r="D31" s="45">
        <v>460</v>
      </c>
      <c r="E31" s="45"/>
      <c r="F31" s="45">
        <v>1725</v>
      </c>
      <c r="G31" s="45">
        <v>475</v>
      </c>
      <c r="H31" s="45">
        <v>98</v>
      </c>
      <c r="I31" s="45">
        <v>1162</v>
      </c>
      <c r="J31" s="45"/>
      <c r="K31" s="45">
        <v>1793</v>
      </c>
      <c r="L31" s="45"/>
      <c r="M31" s="45">
        <v>800</v>
      </c>
      <c r="N31" s="45">
        <v>122</v>
      </c>
      <c r="O31" s="45">
        <v>1136</v>
      </c>
      <c r="P31" s="45">
        <v>172</v>
      </c>
      <c r="Q31" s="45">
        <v>0</v>
      </c>
      <c r="R31" s="45">
        <v>2784</v>
      </c>
      <c r="S31" s="45">
        <v>546</v>
      </c>
      <c r="T31" s="45">
        <v>895</v>
      </c>
      <c r="U31" s="45">
        <v>1908</v>
      </c>
      <c r="V31" s="45">
        <v>1059</v>
      </c>
      <c r="W31" s="45">
        <v>628</v>
      </c>
      <c r="X31" s="45">
        <v>4171</v>
      </c>
      <c r="Y31" s="45">
        <v>503</v>
      </c>
      <c r="Z31" s="45">
        <v>656</v>
      </c>
      <c r="AA31" s="45">
        <v>560</v>
      </c>
      <c r="AB31" s="45">
        <v>738</v>
      </c>
      <c r="AC31" s="45">
        <v>3771</v>
      </c>
      <c r="AD31" s="45">
        <v>9979</v>
      </c>
      <c r="AE31" s="45">
        <v>306</v>
      </c>
      <c r="AF31" s="45">
        <v>148</v>
      </c>
      <c r="AG31" s="45">
        <v>5488</v>
      </c>
      <c r="AH31" s="45">
        <v>1176</v>
      </c>
      <c r="AI31" s="45">
        <v>1121</v>
      </c>
      <c r="AJ31" s="45">
        <v>4586</v>
      </c>
      <c r="AK31" s="45">
        <v>481</v>
      </c>
      <c r="AL31" s="92">
        <f>SUM(B31:AK31)</f>
        <v>50536</v>
      </c>
      <c r="AM31">
        <f>+AC31+S31+X31+AD31+AG31+U31+AJ31</f>
        <v>30449</v>
      </c>
      <c r="AN31" s="48">
        <f>+D31+I31+O31+R31+T31+Z31+E31+Y31+AH31+F31</f>
        <v>10497</v>
      </c>
      <c r="AO31">
        <f>+B31+Q31+AE31+AK31+AI31+L31+M31+W31+V31+AB31+N31+K31+H31+G31+J31+P31+C31+AA31+AF31</f>
        <v>9590</v>
      </c>
      <c r="AP31">
        <f>+R31+W31+Z31+AK31+O31+I31+F31</f>
        <v>8572</v>
      </c>
      <c r="AQ31" s="20">
        <f>+B31+D31+K31+L31+M31+Q31+S31+T31+X31+AC31+AD31+AE31+AG31+AI31+U31+E31+AJ31+Y31+N31+G31+AH31+AA31+AF31</f>
        <v>38965</v>
      </c>
      <c r="AR31" s="20">
        <f>+AB31+V31+H31+J31+P31+C31</f>
        <v>2999</v>
      </c>
      <c r="AS31">
        <f>+AM31+AN31+AO31</f>
        <v>50536</v>
      </c>
      <c r="AT31">
        <f>+AP31+AQ31+AR31</f>
        <v>50536</v>
      </c>
      <c r="AU31">
        <f>+AR31+AQ31+AP31</f>
        <v>50536</v>
      </c>
    </row>
    <row r="32" spans="1:47" x14ac:dyDescent="0.2">
      <c r="A32" t="s">
        <v>4</v>
      </c>
      <c r="B32" s="80">
        <f>+B31/B30</f>
        <v>0.22019635343618513</v>
      </c>
      <c r="C32" s="80">
        <f>+C31/C30</f>
        <v>0.75161290322580643</v>
      </c>
      <c r="D32" s="80">
        <f>+D31/D30</f>
        <v>0.27997565429093124</v>
      </c>
      <c r="E32" s="80"/>
      <c r="F32" s="80">
        <f t="shared" ref="F32:AR32" si="4">+F31/F30</f>
        <v>0.520048236358155</v>
      </c>
      <c r="G32" s="80">
        <f t="shared" si="4"/>
        <v>0.90132827324478182</v>
      </c>
      <c r="H32" s="80">
        <f t="shared" si="4"/>
        <v>0.1859582542694497</v>
      </c>
      <c r="I32" s="80">
        <f t="shared" si="4"/>
        <v>0.45712037765538943</v>
      </c>
      <c r="J32" s="80"/>
      <c r="K32" s="80">
        <f t="shared" si="4"/>
        <v>0.88982630272952856</v>
      </c>
      <c r="L32" s="80"/>
      <c r="M32" s="80">
        <f t="shared" si="4"/>
        <v>0.86021505376344087</v>
      </c>
      <c r="N32" s="80">
        <f t="shared" si="4"/>
        <v>0.28110599078341014</v>
      </c>
      <c r="O32" s="80">
        <f t="shared" si="4"/>
        <v>0.50896057347670254</v>
      </c>
      <c r="P32" s="80">
        <f t="shared" si="4"/>
        <v>0.39631336405529954</v>
      </c>
      <c r="Q32" s="80">
        <v>0</v>
      </c>
      <c r="R32" s="80">
        <f t="shared" si="4"/>
        <v>0.92583970734951782</v>
      </c>
      <c r="S32" s="80">
        <f t="shared" si="4"/>
        <v>6.6213921901528014E-2</v>
      </c>
      <c r="T32" s="80">
        <f t="shared" si="4"/>
        <v>0.26009880848590528</v>
      </c>
      <c r="U32" s="80">
        <f t="shared" si="4"/>
        <v>0.34004633755123864</v>
      </c>
      <c r="V32" s="80">
        <f t="shared" si="4"/>
        <v>0.74263674614305752</v>
      </c>
      <c r="W32" s="80">
        <f t="shared" si="4"/>
        <v>0.81032258064516127</v>
      </c>
      <c r="X32" s="80">
        <f t="shared" si="4"/>
        <v>0.28997497219132368</v>
      </c>
      <c r="Y32" s="80">
        <f t="shared" si="4"/>
        <v>0.27975528364849833</v>
      </c>
      <c r="Z32" s="80">
        <f t="shared" si="4"/>
        <v>0.52903225806451615</v>
      </c>
      <c r="AA32" s="80">
        <f t="shared" si="4"/>
        <v>0.90322580645161288</v>
      </c>
      <c r="AB32" s="80">
        <f t="shared" si="4"/>
        <v>0.35009487666034156</v>
      </c>
      <c r="AC32" s="80">
        <f t="shared" si="4"/>
        <v>0.6758064516129032</v>
      </c>
      <c r="AD32" s="80">
        <f t="shared" si="4"/>
        <v>0.8630113292398166</v>
      </c>
      <c r="AE32" s="80">
        <f t="shared" si="4"/>
        <v>0.75930521091811409</v>
      </c>
      <c r="AF32" s="80">
        <f t="shared" si="4"/>
        <v>0.34101382488479265</v>
      </c>
      <c r="AG32" s="80">
        <f t="shared" si="4"/>
        <v>0.73763440860215057</v>
      </c>
      <c r="AH32" s="80">
        <f t="shared" si="4"/>
        <v>0.63225806451612898</v>
      </c>
      <c r="AI32" s="80">
        <f t="shared" si="4"/>
        <v>0.72322580645161294</v>
      </c>
      <c r="AJ32" s="80">
        <f t="shared" si="4"/>
        <v>0.82645521715624437</v>
      </c>
      <c r="AK32" s="80">
        <f t="shared" si="4"/>
        <v>0.45635673624288425</v>
      </c>
      <c r="AL32" s="80">
        <f t="shared" si="4"/>
        <v>0.53396447703475169</v>
      </c>
      <c r="AM32" s="80">
        <f t="shared" si="4"/>
        <v>0.52162815000085661</v>
      </c>
      <c r="AN32" s="80">
        <f t="shared" si="4"/>
        <v>0.49796015180265657</v>
      </c>
      <c r="AO32" s="80">
        <f t="shared" si="4"/>
        <v>0.63133640552995396</v>
      </c>
      <c r="AP32" s="80">
        <f t="shared" si="4"/>
        <v>0.60506811604432842</v>
      </c>
      <c r="AQ32" s="80">
        <f t="shared" si="4"/>
        <v>0.52133367228161254</v>
      </c>
      <c r="AR32" s="80">
        <f t="shared" si="4"/>
        <v>0.52292938099389707</v>
      </c>
    </row>
    <row r="33" spans="1:47" x14ac:dyDescent="0.2">
      <c r="A33" s="20"/>
      <c r="B33" s="20">
        <v>1</v>
      </c>
      <c r="C33" s="20">
        <v>1</v>
      </c>
      <c r="D33" s="20">
        <v>1</v>
      </c>
      <c r="E33" s="20"/>
      <c r="F33" s="20">
        <v>1</v>
      </c>
      <c r="G33" s="20">
        <v>1</v>
      </c>
      <c r="H33" s="20">
        <v>1</v>
      </c>
      <c r="I33" s="20">
        <v>1</v>
      </c>
      <c r="J33" s="20"/>
      <c r="K33" s="20">
        <v>1</v>
      </c>
      <c r="L33" s="20"/>
      <c r="M33" s="20">
        <v>1</v>
      </c>
      <c r="N33" s="20">
        <v>1</v>
      </c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Z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20">
        <v>1</v>
      </c>
      <c r="AJ33" s="20">
        <v>1</v>
      </c>
      <c r="AK33" s="20">
        <v>1</v>
      </c>
      <c r="AL33" s="92">
        <f>SUM(B33:AK33)</f>
        <v>32</v>
      </c>
      <c r="AM33" s="20">
        <f>+AC33+S33+X33+AD33+AG33+U33+AJ33</f>
        <v>7</v>
      </c>
      <c r="AN33" s="20">
        <f>+D33+I33+O33+R33+T33+Z33+E33+Y33+AH33+F33</f>
        <v>9</v>
      </c>
      <c r="AO33">
        <f>+B33+Q33+AE33+AK33+AI33+L33+M33+W33+V33+AB33+N33+K33+H33+G33+J33+P33+C33+AA33+AF33</f>
        <v>16</v>
      </c>
      <c r="AP33" s="20">
        <f>+R33+W33+Z33+AK33+O33+I33+F33</f>
        <v>7</v>
      </c>
      <c r="AQ33" s="20">
        <f>+B33+D33+K33+L33+M33+Q33+S33+T33+X33+AC33+AD33+AE33+AG33+AI33+U33+E33+AJ33+Y33+N33+G33+AH33+AA33+AF33</f>
        <v>20</v>
      </c>
      <c r="AR33" s="20">
        <f>+AB33+V33+H33+J33+P33+C33</f>
        <v>5</v>
      </c>
    </row>
    <row r="34" spans="1:47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 t="s">
        <v>213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C34" s="20"/>
      <c r="AD34" s="20"/>
      <c r="AE34" s="20"/>
      <c r="AF34" s="20" t="s">
        <v>15</v>
      </c>
      <c r="AG34" s="20"/>
      <c r="AH34" s="20"/>
      <c r="AI34" s="20"/>
      <c r="AJ34" s="20"/>
      <c r="AK34" s="20"/>
      <c r="AL34" s="92"/>
      <c r="AM34" s="20"/>
      <c r="AN34" s="20"/>
      <c r="AO34" s="20"/>
      <c r="AP34" s="20"/>
      <c r="AQ34" s="20"/>
      <c r="AR34" s="20"/>
    </row>
    <row r="35" spans="1:47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1"/>
      <c r="AD35" s="1"/>
      <c r="AE35" s="1"/>
      <c r="AF35" s="1"/>
      <c r="AG35" s="1"/>
      <c r="AH35" s="1"/>
      <c r="AL35" s="5"/>
    </row>
    <row r="36" spans="1:47" x14ac:dyDescent="0.2">
      <c r="A36" t="s">
        <v>1</v>
      </c>
      <c r="B36" s="38">
        <v>690</v>
      </c>
      <c r="C36" s="38">
        <v>1200</v>
      </c>
      <c r="D36" s="38">
        <v>1590</v>
      </c>
      <c r="E36" s="38"/>
      <c r="F36" s="38">
        <v>3210</v>
      </c>
      <c r="G36" s="38">
        <v>510</v>
      </c>
      <c r="H36" s="38">
        <v>510</v>
      </c>
      <c r="I36" s="38">
        <v>2460</v>
      </c>
      <c r="J36" s="38"/>
      <c r="K36" s="38">
        <v>1950</v>
      </c>
      <c r="L36" s="38"/>
      <c r="M36" s="38">
        <v>900</v>
      </c>
      <c r="N36" s="38">
        <v>420</v>
      </c>
      <c r="O36" s="38">
        <v>2160</v>
      </c>
      <c r="P36" s="38">
        <v>420</v>
      </c>
      <c r="Q36" s="38"/>
      <c r="R36" s="38">
        <v>2730</v>
      </c>
      <c r="S36" s="38">
        <v>7980</v>
      </c>
      <c r="T36" s="38">
        <v>3330</v>
      </c>
      <c r="U36" s="38">
        <v>6060</v>
      </c>
      <c r="V36" s="38">
        <v>1380</v>
      </c>
      <c r="W36" s="38">
        <v>750</v>
      </c>
      <c r="X36" s="38">
        <v>13920</v>
      </c>
      <c r="Y36" s="38">
        <v>1740</v>
      </c>
      <c r="Z36" s="38">
        <v>1200</v>
      </c>
      <c r="AA36" s="38">
        <v>750</v>
      </c>
      <c r="AB36" s="38">
        <v>2040</v>
      </c>
      <c r="AC36" s="38">
        <v>4890</v>
      </c>
      <c r="AD36" s="38">
        <v>11190</v>
      </c>
      <c r="AE36" s="38">
        <v>390</v>
      </c>
      <c r="AF36" s="38">
        <v>420</v>
      </c>
      <c r="AG36" s="38">
        <v>6630</v>
      </c>
      <c r="AH36" s="38">
        <v>1800</v>
      </c>
      <c r="AI36" s="38">
        <v>1470</v>
      </c>
      <c r="AJ36" s="38">
        <v>5370</v>
      </c>
      <c r="AK36" s="38">
        <v>1020</v>
      </c>
      <c r="AL36" s="92">
        <f>SUM(B36:AK36)</f>
        <v>91080</v>
      </c>
      <c r="AM36">
        <f>+AC36+S36+X36+AD36+AG36+U36+AJ36</f>
        <v>56040</v>
      </c>
      <c r="AN36" s="20">
        <f>+D36+I36+O36+R36+T36+Z36+E36+Y36+AH36+F36</f>
        <v>20220</v>
      </c>
      <c r="AO36">
        <f>+B36+Q36+AE36+AK36+AI36+L36+M36+W36+V36+AB36+N36+K36+H36+G36+J36+P36+C36+AA36+AF36</f>
        <v>14820</v>
      </c>
      <c r="AP36">
        <f>+R36+W36+Z36+AK36+O36+I36+F36</f>
        <v>13530</v>
      </c>
      <c r="AQ36" s="20">
        <f>+B36+D36+K36+L36+M36+Q36+S36+T36+X36+AC36+AD36+AE36+AG36+AI36+U36+E36+AJ36+Y36+N36+G36+AH36+AA36+AF36</f>
        <v>72000</v>
      </c>
      <c r="AR36" s="20">
        <f>+AB36+V36+H36+J36+P36+C36</f>
        <v>5550</v>
      </c>
      <c r="AS36">
        <f>+AM36+AN36+AO36</f>
        <v>91080</v>
      </c>
      <c r="AT36">
        <f>+AP36+AQ36+AR36</f>
        <v>91080</v>
      </c>
      <c r="AU36">
        <f>+AR36+AQ36+AP36</f>
        <v>91080</v>
      </c>
    </row>
    <row r="37" spans="1:47" x14ac:dyDescent="0.2">
      <c r="A37" t="s">
        <v>2</v>
      </c>
      <c r="B37" s="38">
        <v>97</v>
      </c>
      <c r="C37" s="38">
        <v>452</v>
      </c>
      <c r="D37" s="38">
        <v>382</v>
      </c>
      <c r="E37" s="38"/>
      <c r="F37" s="38">
        <v>1637</v>
      </c>
      <c r="G37" s="38">
        <v>372</v>
      </c>
      <c r="H37" s="38">
        <v>90</v>
      </c>
      <c r="I37" s="38">
        <v>721</v>
      </c>
      <c r="J37" s="38"/>
      <c r="K37" s="38">
        <v>1697</v>
      </c>
      <c r="L37" s="38"/>
      <c r="M37" s="38">
        <v>648</v>
      </c>
      <c r="N37" s="38">
        <v>42</v>
      </c>
      <c r="O37" s="38">
        <v>823</v>
      </c>
      <c r="P37" s="38">
        <v>150</v>
      </c>
      <c r="Q37" s="38"/>
      <c r="R37" s="38">
        <v>2574</v>
      </c>
      <c r="S37" s="38">
        <v>825</v>
      </c>
      <c r="T37" s="38">
        <v>499</v>
      </c>
      <c r="U37" s="38">
        <v>2182</v>
      </c>
      <c r="V37" s="38">
        <v>997</v>
      </c>
      <c r="W37" s="38">
        <v>630</v>
      </c>
      <c r="X37" s="38">
        <v>3758</v>
      </c>
      <c r="Y37" s="38">
        <v>774</v>
      </c>
      <c r="Z37" s="38">
        <v>833</v>
      </c>
      <c r="AA37" s="38">
        <v>500</v>
      </c>
      <c r="AB37" s="38">
        <f>+AB36*0.25</f>
        <v>510</v>
      </c>
      <c r="AC37" s="38">
        <v>2786</v>
      </c>
      <c r="AD37" s="38">
        <v>10070</v>
      </c>
      <c r="AE37" s="38">
        <v>198</v>
      </c>
      <c r="AF37" s="38">
        <v>130</v>
      </c>
      <c r="AG37" s="38">
        <v>4844</v>
      </c>
      <c r="AH37" s="38">
        <v>1081</v>
      </c>
      <c r="AI37" s="38">
        <v>1036</v>
      </c>
      <c r="AJ37" s="38">
        <v>4208</v>
      </c>
      <c r="AK37" s="38">
        <v>392</v>
      </c>
      <c r="AL37" s="92">
        <f>SUM(B37:AK37)</f>
        <v>45938</v>
      </c>
      <c r="AM37">
        <f>+AC37+S37+X37+AD37+AG37+U37+AJ37</f>
        <v>28673</v>
      </c>
      <c r="AN37" s="48">
        <f>+D37+I37+O37+R37+T37+Z37+E37+Y37+AH37+F37</f>
        <v>9324</v>
      </c>
      <c r="AO37">
        <f>+B37+Q37+AE37+AK37+AI37+L37+M37+W37+V37+AB37+N37+K37+H37+G37+J37+P37+C37+AA37+AF37</f>
        <v>7941</v>
      </c>
      <c r="AP37">
        <f>+R37+W37+Z37+AK37+O37+I37+F37</f>
        <v>7610</v>
      </c>
      <c r="AQ37" s="20">
        <f>+B37+D37+K37+L37+M37+Q37+S37+T37+X37+AC37+AD37+AE37+AG37+AI37+U37+E37+AJ37+Y37+N37+G37+AH37+AA37+AF37</f>
        <v>36129</v>
      </c>
      <c r="AR37" s="20">
        <f>+AB37+V37+H37+J37+P37+C37</f>
        <v>2199</v>
      </c>
      <c r="AS37">
        <f>+AM37+AN37+AO37</f>
        <v>45938</v>
      </c>
      <c r="AT37">
        <f>+AP37+AQ37+AR37</f>
        <v>45938</v>
      </c>
      <c r="AU37">
        <f>+AR37+AQ37+AP37</f>
        <v>45938</v>
      </c>
    </row>
    <row r="38" spans="1:47" x14ac:dyDescent="0.2">
      <c r="A38" t="s">
        <v>4</v>
      </c>
      <c r="B38" s="80">
        <f>+B37/B36</f>
        <v>0.14057971014492754</v>
      </c>
      <c r="C38" s="80">
        <f>+C37/C36</f>
        <v>0.37666666666666665</v>
      </c>
      <c r="D38" s="80">
        <f>+D37/D36</f>
        <v>0.24025157232704403</v>
      </c>
      <c r="E38" s="80"/>
      <c r="F38" s="80">
        <f t="shared" ref="F38:P38" si="5">+F37/F36</f>
        <v>0.50996884735202497</v>
      </c>
      <c r="G38" s="80">
        <f t="shared" si="5"/>
        <v>0.72941176470588232</v>
      </c>
      <c r="H38" s="80">
        <f t="shared" si="5"/>
        <v>0.17647058823529413</v>
      </c>
      <c r="I38" s="80">
        <f t="shared" si="5"/>
        <v>0.29308943089430894</v>
      </c>
      <c r="J38" s="80"/>
      <c r="K38" s="80">
        <f t="shared" si="5"/>
        <v>0.87025641025641021</v>
      </c>
      <c r="L38" s="80"/>
      <c r="M38" s="80">
        <f t="shared" si="5"/>
        <v>0.72</v>
      </c>
      <c r="N38" s="80">
        <f t="shared" si="5"/>
        <v>0.1</v>
      </c>
      <c r="O38" s="80">
        <f t="shared" si="5"/>
        <v>0.38101851851851853</v>
      </c>
      <c r="P38" s="80">
        <f t="shared" si="5"/>
        <v>0.35714285714285715</v>
      </c>
      <c r="Q38" s="80">
        <v>0</v>
      </c>
      <c r="R38" s="80">
        <f t="shared" ref="R38:AR38" si="6">+R37/R36</f>
        <v>0.94285714285714284</v>
      </c>
      <c r="S38" s="80">
        <f t="shared" si="6"/>
        <v>0.10338345864661654</v>
      </c>
      <c r="T38" s="80">
        <f t="shared" si="6"/>
        <v>0.14984984984984984</v>
      </c>
      <c r="U38" s="80">
        <f t="shared" si="6"/>
        <v>0.36006600660066007</v>
      </c>
      <c r="V38" s="80">
        <f t="shared" si="6"/>
        <v>0.72246376811594204</v>
      </c>
      <c r="W38" s="80">
        <f t="shared" si="6"/>
        <v>0.84</v>
      </c>
      <c r="X38" s="80">
        <f t="shared" si="6"/>
        <v>0.2699712643678161</v>
      </c>
      <c r="Y38" s="80">
        <f t="shared" si="6"/>
        <v>0.44482758620689655</v>
      </c>
      <c r="Z38" s="80">
        <f t="shared" si="6"/>
        <v>0.69416666666666671</v>
      </c>
      <c r="AA38" s="80">
        <f t="shared" si="6"/>
        <v>0.66666666666666663</v>
      </c>
      <c r="AB38" s="80">
        <f t="shared" si="6"/>
        <v>0.25</v>
      </c>
      <c r="AC38" s="80">
        <f t="shared" si="6"/>
        <v>0.56973415132924332</v>
      </c>
      <c r="AD38" s="80">
        <f t="shared" si="6"/>
        <v>0.8999106344950849</v>
      </c>
      <c r="AE38" s="80">
        <f t="shared" si="6"/>
        <v>0.50769230769230766</v>
      </c>
      <c r="AF38" s="80">
        <f t="shared" si="6"/>
        <v>0.30952380952380953</v>
      </c>
      <c r="AG38" s="80">
        <f t="shared" si="6"/>
        <v>0.73061840120663646</v>
      </c>
      <c r="AH38" s="80">
        <f t="shared" si="6"/>
        <v>0.60055555555555551</v>
      </c>
      <c r="AI38" s="80">
        <f t="shared" si="6"/>
        <v>0.70476190476190481</v>
      </c>
      <c r="AJ38" s="80">
        <f t="shared" si="6"/>
        <v>0.78361266294227183</v>
      </c>
      <c r="AK38" s="80">
        <f t="shared" si="6"/>
        <v>0.3843137254901961</v>
      </c>
      <c r="AL38" s="80">
        <f t="shared" si="6"/>
        <v>0.5043697848045674</v>
      </c>
      <c r="AM38" s="80">
        <f t="shared" si="6"/>
        <v>0.51165239114917915</v>
      </c>
      <c r="AN38" s="80">
        <f t="shared" si="6"/>
        <v>0.46112759643916912</v>
      </c>
      <c r="AO38" s="80">
        <f t="shared" si="6"/>
        <v>0.53582995951417001</v>
      </c>
      <c r="AP38" s="80">
        <f t="shared" si="6"/>
        <v>0.56245380635624542</v>
      </c>
      <c r="AQ38" s="80">
        <f t="shared" si="6"/>
        <v>0.50179166666666664</v>
      </c>
      <c r="AR38" s="80">
        <f t="shared" si="6"/>
        <v>0.39621621621621622</v>
      </c>
    </row>
    <row r="39" spans="1:47" x14ac:dyDescent="0.2">
      <c r="A39" s="20"/>
      <c r="B39" s="20">
        <v>1</v>
      </c>
      <c r="C39" s="20">
        <v>1</v>
      </c>
      <c r="D39" s="20">
        <v>1</v>
      </c>
      <c r="E39" s="20"/>
      <c r="F39" s="20">
        <v>1</v>
      </c>
      <c r="G39" s="20">
        <v>1</v>
      </c>
      <c r="H39" s="20">
        <v>1</v>
      </c>
      <c r="I39" s="20">
        <v>1</v>
      </c>
      <c r="J39" s="20"/>
      <c r="K39" s="20">
        <v>1</v>
      </c>
      <c r="L39" s="20"/>
      <c r="M39" s="20">
        <v>1</v>
      </c>
      <c r="N39" s="20">
        <v>1</v>
      </c>
      <c r="O39" s="20">
        <v>1</v>
      </c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20">
        <v>1</v>
      </c>
      <c r="AJ39" s="20">
        <v>1</v>
      </c>
      <c r="AK39" s="20">
        <v>1</v>
      </c>
      <c r="AL39" s="92">
        <f>SUM(B39:AK39)</f>
        <v>32</v>
      </c>
      <c r="AM39" s="20">
        <f>+AC39+S39+X39+AD39+AG39+U39+AJ39</f>
        <v>7</v>
      </c>
      <c r="AN39" s="20">
        <f>+D39+I39+O39+R39+T39+Z39+E39+Y39+AH39+F39</f>
        <v>9</v>
      </c>
      <c r="AO39">
        <f>+B39+Q39+AE39+AK39+AI39+L39+M39+W39+V39+AB39+N39+K39+H39+G39+J39+P39+C39+AA39+AF39</f>
        <v>16</v>
      </c>
      <c r="AP39" s="20">
        <f>+R39+W39+Z39+AK39+O39+I39+F39</f>
        <v>7</v>
      </c>
      <c r="AQ39" s="20">
        <f>+B39+D39+K39+L39+M39+Q39+S39+T39+X39+AC39+AD39+AE39+AG39+AI39+U39+E39+AJ39+Y39+N39+G39+AH39+AA39+AF39</f>
        <v>20</v>
      </c>
      <c r="AR39" s="20">
        <f>+AB39+V39+H39+J39+P39+C39</f>
        <v>5</v>
      </c>
    </row>
    <row r="40" spans="1:47" x14ac:dyDescent="0.2">
      <c r="I40" s="5"/>
      <c r="J40" s="5"/>
    </row>
    <row r="41" spans="1:47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1"/>
      <c r="AC41" s="1"/>
      <c r="AD41" s="1"/>
      <c r="AE41" s="1"/>
      <c r="AF41" s="1"/>
      <c r="AG41" s="1"/>
      <c r="AH41" s="1"/>
      <c r="AI41" s="1"/>
      <c r="AL41" s="5"/>
    </row>
    <row r="42" spans="1:47" x14ac:dyDescent="0.2">
      <c r="A42" t="s">
        <v>1</v>
      </c>
      <c r="B42" s="38">
        <v>713</v>
      </c>
      <c r="C42" s="38">
        <v>1240</v>
      </c>
      <c r="D42" s="38">
        <v>1643</v>
      </c>
      <c r="E42" s="38"/>
      <c r="F42" s="38">
        <v>3317</v>
      </c>
      <c r="G42" s="38">
        <v>527</v>
      </c>
      <c r="H42" s="38">
        <v>527</v>
      </c>
      <c r="I42" s="38">
        <v>2542</v>
      </c>
      <c r="J42" s="38"/>
      <c r="K42" s="38">
        <v>2015</v>
      </c>
      <c r="L42" s="38"/>
      <c r="M42" s="38">
        <v>930</v>
      </c>
      <c r="N42" s="38">
        <v>434</v>
      </c>
      <c r="O42" s="38">
        <v>2232</v>
      </c>
      <c r="P42" s="38">
        <v>434</v>
      </c>
      <c r="Q42" s="38"/>
      <c r="R42" s="38">
        <v>2821</v>
      </c>
      <c r="S42" s="38">
        <v>8246</v>
      </c>
      <c r="T42" s="38">
        <v>3441</v>
      </c>
      <c r="U42" s="38">
        <v>5611</v>
      </c>
      <c r="V42" s="38">
        <v>1426</v>
      </c>
      <c r="W42" s="38">
        <v>775</v>
      </c>
      <c r="X42" s="38">
        <v>14384</v>
      </c>
      <c r="Y42" s="38">
        <v>1798</v>
      </c>
      <c r="Z42" s="38">
        <v>1240</v>
      </c>
      <c r="AA42" s="38">
        <v>620</v>
      </c>
      <c r="AB42" s="38">
        <v>2108</v>
      </c>
      <c r="AC42" s="38">
        <v>5053</v>
      </c>
      <c r="AD42" s="38">
        <v>11563</v>
      </c>
      <c r="AE42" s="38">
        <v>403</v>
      </c>
      <c r="AF42" s="38">
        <v>434</v>
      </c>
      <c r="AG42" s="38">
        <v>7440</v>
      </c>
      <c r="AH42" s="38">
        <v>1860</v>
      </c>
      <c r="AI42" s="38">
        <v>1519</v>
      </c>
      <c r="AJ42" s="38">
        <v>5580</v>
      </c>
      <c r="AK42" s="38">
        <v>1054</v>
      </c>
      <c r="AL42" s="100">
        <f>SUM(B42:AK42)</f>
        <v>93930</v>
      </c>
      <c r="AM42">
        <f>+AC42+S42+X42+AD42+AG42+U42+AJ42</f>
        <v>57877</v>
      </c>
      <c r="AN42" s="20">
        <f>+D42+I42+O42+R42+T42+Z42+E42+Y42+AH42+F42</f>
        <v>20894</v>
      </c>
      <c r="AO42">
        <f>+B42+Q42+AE42+AK42+AI42+L42+M42+W42+V42+AB42+N42+K42+H42+G42+J42+P42+C42+AA42+AF42</f>
        <v>15159</v>
      </c>
      <c r="AP42">
        <f>+R42+W42+Z42+AK42+O42+I42+F42</f>
        <v>13981</v>
      </c>
      <c r="AQ42" s="20">
        <f>+B42+D42+K42+L42+M42+Q42+S42+T42+X42+AC42+AD42+AE42+AG42+AI42+U42+E42+AJ42+Y42+N42+G42+AH42+AA42+AF42</f>
        <v>74214</v>
      </c>
      <c r="AR42" s="20">
        <f>+AB42+V42+H42+J42+P42+C42</f>
        <v>5735</v>
      </c>
      <c r="AS42">
        <f>+AM42+AN42+AO42</f>
        <v>93930</v>
      </c>
      <c r="AT42">
        <f>+AP42+AQ42+AR42</f>
        <v>93930</v>
      </c>
      <c r="AU42">
        <f>+AR42+AQ42+AP42</f>
        <v>93930</v>
      </c>
    </row>
    <row r="43" spans="1:47" x14ac:dyDescent="0.2">
      <c r="A43" t="s">
        <v>2</v>
      </c>
      <c r="B43" s="45">
        <v>242</v>
      </c>
      <c r="C43" s="45">
        <v>358</v>
      </c>
      <c r="D43" s="45">
        <v>657</v>
      </c>
      <c r="E43" s="45"/>
      <c r="F43" s="45">
        <v>1858</v>
      </c>
      <c r="G43" s="45">
        <v>406</v>
      </c>
      <c r="H43" s="45">
        <v>226</v>
      </c>
      <c r="I43" s="45">
        <v>1042</v>
      </c>
      <c r="J43" s="45"/>
      <c r="K43" s="45">
        <v>1753</v>
      </c>
      <c r="L43" s="45"/>
      <c r="M43" s="45">
        <v>597</v>
      </c>
      <c r="N43" s="45">
        <v>143</v>
      </c>
      <c r="O43" s="45">
        <v>607</v>
      </c>
      <c r="P43" s="45">
        <v>199</v>
      </c>
      <c r="Q43" s="45"/>
      <c r="R43" s="45">
        <v>2293</v>
      </c>
      <c r="S43" s="45">
        <v>2177</v>
      </c>
      <c r="T43" s="38">
        <v>413</v>
      </c>
      <c r="U43" s="38">
        <v>2357</v>
      </c>
      <c r="V43" s="45">
        <v>1090</v>
      </c>
      <c r="W43" s="45">
        <v>512</v>
      </c>
      <c r="X43" s="45">
        <v>3740</v>
      </c>
      <c r="Y43" s="45">
        <v>755</v>
      </c>
      <c r="Z43" s="45">
        <v>778</v>
      </c>
      <c r="AA43" s="45">
        <v>328</v>
      </c>
      <c r="AB43" s="45">
        <v>1180</v>
      </c>
      <c r="AC43" s="45">
        <v>2839</v>
      </c>
      <c r="AD43" s="45">
        <v>9456</v>
      </c>
      <c r="AE43" s="45">
        <v>221</v>
      </c>
      <c r="AF43" s="45">
        <v>191</v>
      </c>
      <c r="AG43" s="45">
        <v>5092</v>
      </c>
      <c r="AH43" s="45">
        <v>1373</v>
      </c>
      <c r="AI43" s="45">
        <v>1158</v>
      </c>
      <c r="AJ43" s="45">
        <v>4584</v>
      </c>
      <c r="AK43" s="45">
        <v>334</v>
      </c>
      <c r="AL43" s="100">
        <f>SUM(B43:AK43)</f>
        <v>48959</v>
      </c>
      <c r="AM43">
        <f>+AC43+S43+X43+AD43+AG43+U43+AJ43</f>
        <v>30245</v>
      </c>
      <c r="AN43" s="48">
        <f>+D43+I43+O43+R43+T43+Z43+E43+Y43+AH43+F43</f>
        <v>9776</v>
      </c>
      <c r="AO43">
        <f>+B43+Q43+AE43+AK43+AI43+L43+M43+W43+V43+AB43+N43+K43+H43+G43+J43+P43+C43+AA43+AF43</f>
        <v>8938</v>
      </c>
      <c r="AP43">
        <f>+R43+W43+Z43+AK43+O43+I43+F43</f>
        <v>7424</v>
      </c>
      <c r="AQ43" s="20">
        <f>+B43+D43+K43+L43+M43+Q43+S43+T43+X43+AC43+AD43+AE43+AG43+AI43+U43+E43+AJ43+Y43+N43+G43+AH43+AA43+AF43</f>
        <v>38482</v>
      </c>
      <c r="AR43" s="20">
        <f>+AB43+V43+H43+J43+P43+C43</f>
        <v>3053</v>
      </c>
      <c r="AS43">
        <f>+AM43+AN43+AO43</f>
        <v>48959</v>
      </c>
      <c r="AT43">
        <f>+AP43+AQ43+AR43</f>
        <v>48959</v>
      </c>
      <c r="AU43">
        <f>+AR43+AQ43+AP43</f>
        <v>48959</v>
      </c>
    </row>
    <row r="44" spans="1:47" x14ac:dyDescent="0.2">
      <c r="A44" t="s">
        <v>4</v>
      </c>
      <c r="B44" s="3">
        <f>+B43/B42</f>
        <v>0.33941093969144459</v>
      </c>
      <c r="C44" s="3">
        <f>+C43/C42</f>
        <v>0.28870967741935483</v>
      </c>
      <c r="D44" s="3">
        <f>+D43/D42</f>
        <v>0.3998782714546561</v>
      </c>
      <c r="E44" s="3"/>
      <c r="F44" s="3">
        <f t="shared" ref="F44:N44" si="7">+F43/F42</f>
        <v>0.5601447090744649</v>
      </c>
      <c r="G44" s="3">
        <f t="shared" si="7"/>
        <v>0.77039848197343452</v>
      </c>
      <c r="H44" s="3">
        <f t="shared" si="7"/>
        <v>0.42884250474383301</v>
      </c>
      <c r="I44" s="3">
        <f t="shared" si="7"/>
        <v>0.40991345397324941</v>
      </c>
      <c r="J44" s="3"/>
      <c r="K44" s="3">
        <f t="shared" si="7"/>
        <v>0.86997518610421831</v>
      </c>
      <c r="L44" s="80"/>
      <c r="M44" s="3">
        <f t="shared" si="7"/>
        <v>0.64193548387096777</v>
      </c>
      <c r="N44" s="3">
        <f t="shared" si="7"/>
        <v>0.3294930875576037</v>
      </c>
      <c r="O44" s="3">
        <f>+O43/O42</f>
        <v>0.27195340501792115</v>
      </c>
      <c r="P44" s="3">
        <f>+P43/P42</f>
        <v>0.45852534562211983</v>
      </c>
      <c r="Q44" s="3">
        <v>0</v>
      </c>
      <c r="R44" s="3">
        <f t="shared" ref="R44:X44" si="8">+R43/R42</f>
        <v>0.81283232896136126</v>
      </c>
      <c r="S44" s="3">
        <f t="shared" si="8"/>
        <v>0.26400679117147707</v>
      </c>
      <c r="T44" s="80">
        <f t="shared" ref="T44:U44" si="9">+T43/T42</f>
        <v>0.12002324905550713</v>
      </c>
      <c r="U44" s="80">
        <f t="shared" si="9"/>
        <v>0.42006772411334881</v>
      </c>
      <c r="V44" s="3">
        <f t="shared" si="8"/>
        <v>0.76437587657784012</v>
      </c>
      <c r="W44" s="3">
        <f t="shared" si="8"/>
        <v>0.66064516129032258</v>
      </c>
      <c r="X44" s="3">
        <f t="shared" si="8"/>
        <v>0.2600111234705228</v>
      </c>
      <c r="Y44" s="3">
        <f>+Y43/Y42</f>
        <v>0.41991101223581756</v>
      </c>
      <c r="Z44" s="3">
        <f>+Z43/Z42</f>
        <v>0.6274193548387097</v>
      </c>
      <c r="AA44" s="3">
        <f t="shared" ref="AA44:AR44" si="10">+AA43/AA42</f>
        <v>0.52903225806451615</v>
      </c>
      <c r="AB44" s="3">
        <f t="shared" si="10"/>
        <v>0.5597722960151803</v>
      </c>
      <c r="AC44" s="3">
        <f t="shared" si="10"/>
        <v>0.56184444884227192</v>
      </c>
      <c r="AD44" s="3">
        <f t="shared" si="10"/>
        <v>0.81778085271988243</v>
      </c>
      <c r="AE44" s="3">
        <f t="shared" si="10"/>
        <v>0.54838709677419351</v>
      </c>
      <c r="AF44" s="3">
        <f t="shared" si="10"/>
        <v>0.44009216589861749</v>
      </c>
      <c r="AG44" s="3">
        <f t="shared" si="10"/>
        <v>0.68440860215053767</v>
      </c>
      <c r="AH44" s="3">
        <f t="shared" si="10"/>
        <v>0.73817204301075268</v>
      </c>
      <c r="AI44" s="3">
        <f t="shared" si="10"/>
        <v>0.76234364713627389</v>
      </c>
      <c r="AJ44" s="3">
        <f t="shared" si="10"/>
        <v>0.82150537634408605</v>
      </c>
      <c r="AK44" s="3">
        <f t="shared" si="10"/>
        <v>0.31688804554079697</v>
      </c>
      <c r="AL44" s="80">
        <f t="shared" si="10"/>
        <v>0.52122857447035031</v>
      </c>
      <c r="AM44" s="80">
        <f t="shared" si="10"/>
        <v>0.5225737339530383</v>
      </c>
      <c r="AN44" s="80">
        <f t="shared" si="10"/>
        <v>0.46788551737340861</v>
      </c>
      <c r="AO44" s="80">
        <f t="shared" si="10"/>
        <v>0.58961672933570819</v>
      </c>
      <c r="AP44" s="80">
        <f t="shared" si="10"/>
        <v>0.53100636578213289</v>
      </c>
      <c r="AQ44" s="80">
        <f t="shared" si="10"/>
        <v>0.51852750154957283</v>
      </c>
      <c r="AR44" s="80">
        <f t="shared" si="10"/>
        <v>0.53234524847428077</v>
      </c>
    </row>
    <row r="45" spans="1:47" x14ac:dyDescent="0.2">
      <c r="A45" s="20"/>
      <c r="B45" s="38">
        <v>1</v>
      </c>
      <c r="C45" s="38">
        <v>1</v>
      </c>
      <c r="D45" s="39">
        <v>1</v>
      </c>
      <c r="E45" s="39"/>
      <c r="F45" s="39">
        <v>1</v>
      </c>
      <c r="G45" s="39">
        <v>1</v>
      </c>
      <c r="H45" s="39">
        <v>1</v>
      </c>
      <c r="I45" s="39">
        <v>1</v>
      </c>
      <c r="J45" s="39"/>
      <c r="K45" s="39">
        <v>1</v>
      </c>
      <c r="L45" s="39"/>
      <c r="M45" s="39">
        <v>1</v>
      </c>
      <c r="N45" s="39">
        <v>1</v>
      </c>
      <c r="O45" s="39">
        <v>1</v>
      </c>
      <c r="P45" s="39">
        <v>1</v>
      </c>
      <c r="Q45" s="39"/>
      <c r="R45" s="39">
        <v>1</v>
      </c>
      <c r="S45" s="39">
        <v>1</v>
      </c>
      <c r="T45" s="39">
        <v>1</v>
      </c>
      <c r="U45" s="20">
        <v>1</v>
      </c>
      <c r="V45" s="39">
        <v>1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39">
        <v>1</v>
      </c>
      <c r="AJ45" s="39">
        <v>1</v>
      </c>
      <c r="AK45" s="39">
        <v>1</v>
      </c>
      <c r="AL45" s="100">
        <f>SUM(B45:AK45)</f>
        <v>32</v>
      </c>
      <c r="AM45" s="20">
        <f>+AC45+S45+X45+AD45+AG45+U45+AJ45</f>
        <v>7</v>
      </c>
      <c r="AN45" s="20">
        <f>+D45+I45+O45+R45+T45+Z45+E45+Y45+AH45+F45</f>
        <v>9</v>
      </c>
      <c r="AO45">
        <f>+B45+Q45+AE45+AK45+AI45+L45+M45+W45+V45+AB45+N45+K45+H45+G45+J45+P45+C45+AA45+AF45</f>
        <v>16</v>
      </c>
      <c r="AP45" s="20">
        <f>+R45+W45+Z45+AK45+O45+I45+F45</f>
        <v>7</v>
      </c>
      <c r="AQ45" s="20">
        <f>+B45+D45+K45+L45+M45+Q45+S45+T45+X45+AC45+AD45+AE45+AG45+AI45+U45+E45+AJ45+Y45+N45+G45+AH45+AA45+AF45</f>
        <v>20</v>
      </c>
      <c r="AR45" s="20">
        <f>+AB45+V45+H45+J45+P45+C45</f>
        <v>5</v>
      </c>
    </row>
    <row r="46" spans="1:47" x14ac:dyDescent="0.2">
      <c r="I46" s="40"/>
      <c r="J46" s="40"/>
      <c r="AH46" t="s">
        <v>15</v>
      </c>
    </row>
    <row r="47" spans="1:47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1"/>
      <c r="AC47" s="1"/>
      <c r="AD47" s="1"/>
      <c r="AE47" s="1"/>
      <c r="AF47" s="1"/>
      <c r="AG47" s="1"/>
      <c r="AH47" s="1"/>
      <c r="AL47" s="5"/>
    </row>
    <row r="48" spans="1:47" x14ac:dyDescent="0.2">
      <c r="A48" t="s">
        <v>1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92">
        <f>SUM(B48:AK48)</f>
        <v>0</v>
      </c>
      <c r="AM48">
        <f>+AC48+S48+X48+AD48+AG48+U48+AJ48</f>
        <v>0</v>
      </c>
      <c r="AN48" s="20">
        <f>+D48+I48+O48+R48+T48+Z48+E48+Y48+AH48+F48</f>
        <v>0</v>
      </c>
      <c r="AO48">
        <f>+B48+Q48+AE48+AK48+AI48+L48+M48+W48+V48+AB48+N48+K48+H48+G48+J48+P48+C48+AA48+AF48</f>
        <v>0</v>
      </c>
      <c r="AP48">
        <f>+R48+W48+Z48+AK48+O48+I48+F48</f>
        <v>0</v>
      </c>
      <c r="AQ48" s="20">
        <f>+B48+D48+K48+L48+M48+Q48+S48+T48+X48+AC48+AD48+AE48+AG48+AI48+U48+E48+AJ48+Y48+N48+G48+AH48+AA48+AF48</f>
        <v>0</v>
      </c>
      <c r="AR48" s="20">
        <f>+AB48+V48+H48+J48+P48+C48</f>
        <v>0</v>
      </c>
      <c r="AS48">
        <f>+AM48+AN48+AO48</f>
        <v>0</v>
      </c>
      <c r="AT48">
        <f>+AP48+AQ48+AR48</f>
        <v>0</v>
      </c>
      <c r="AU48">
        <f>+AR48+AQ48+AP48</f>
        <v>0</v>
      </c>
    </row>
    <row r="49" spans="1:47" x14ac:dyDescent="0.2">
      <c r="A49" t="s">
        <v>2</v>
      </c>
      <c r="B49" s="38"/>
      <c r="C49" s="38"/>
      <c r="D49" s="38"/>
      <c r="E49" s="38"/>
      <c r="F49" s="38"/>
      <c r="G49" s="38"/>
      <c r="H49" s="38"/>
      <c r="I49" s="38"/>
      <c r="J49" s="38"/>
      <c r="K49" s="45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92">
        <f>SUM(B49:AK49)</f>
        <v>0</v>
      </c>
      <c r="AM49">
        <f>+AC49+S49+X49+AD49+AG49+U49+AJ49</f>
        <v>0</v>
      </c>
      <c r="AN49" s="48">
        <f>+D49+I49+O49+R49+T49+Z49+E49+Y49+AH49+F49</f>
        <v>0</v>
      </c>
      <c r="AO49">
        <f>+B49+Q49+AE49+AK49+AI49+L49+M49+W49+V49+AB49+N49+K49+H49+G49+J49+P49+C49+AA49+AF49</f>
        <v>0</v>
      </c>
      <c r="AP49">
        <f>+R49+W49+Z49+AK49+O49+I49+F49</f>
        <v>0</v>
      </c>
      <c r="AQ49" s="20">
        <f>+B49+D49+K49+L49+M49+Q49+S49+T49+X49+AC49+AD49+AE49+AG49+AI49+U49+E49+AJ49+Y49+N49+G49+AH49+AA49+AF49</f>
        <v>0</v>
      </c>
      <c r="AR49" s="20">
        <f>+AB49+V49+H49+J49+P49+C49</f>
        <v>0</v>
      </c>
      <c r="AS49">
        <f>+AM49+AN49+AO49</f>
        <v>0</v>
      </c>
      <c r="AT49">
        <f>+AP49+AQ49+AR49</f>
        <v>0</v>
      </c>
      <c r="AU49">
        <f>+AR49+AQ49+AP49</f>
        <v>0</v>
      </c>
    </row>
    <row r="50" spans="1:47" x14ac:dyDescent="0.2">
      <c r="A50" t="s">
        <v>4</v>
      </c>
      <c r="B50" s="80">
        <v>0</v>
      </c>
      <c r="C50" s="80" t="e">
        <f>+C49/C48</f>
        <v>#DIV/0!</v>
      </c>
      <c r="D50" s="80" t="e">
        <f>+D49/D48</f>
        <v>#DIV/0!</v>
      </c>
      <c r="E50" s="80"/>
      <c r="F50" s="80" t="e">
        <f t="shared" ref="F50:M50" si="11">+F49/F48</f>
        <v>#DIV/0!</v>
      </c>
      <c r="G50" s="80" t="e">
        <f t="shared" si="11"/>
        <v>#DIV/0!</v>
      </c>
      <c r="H50" s="80" t="e">
        <f t="shared" si="11"/>
        <v>#DIV/0!</v>
      </c>
      <c r="I50" s="80" t="e">
        <f t="shared" si="11"/>
        <v>#DIV/0!</v>
      </c>
      <c r="J50" s="80"/>
      <c r="K50" s="80" t="e">
        <f t="shared" si="11"/>
        <v>#DIV/0!</v>
      </c>
      <c r="L50" s="80"/>
      <c r="M50" s="80" t="e">
        <f t="shared" si="11"/>
        <v>#DIV/0!</v>
      </c>
      <c r="N50" s="80">
        <v>0</v>
      </c>
      <c r="O50" s="80" t="e">
        <f>+O49/O48</f>
        <v>#DIV/0!</v>
      </c>
      <c r="P50" s="80" t="e">
        <f>+P49/P48</f>
        <v>#DIV/0!</v>
      </c>
      <c r="Q50" s="80">
        <v>0</v>
      </c>
      <c r="R50" s="80" t="e">
        <f t="shared" ref="R50:AR50" si="12">+R49/R48</f>
        <v>#DIV/0!</v>
      </c>
      <c r="S50" s="80" t="e">
        <f t="shared" si="12"/>
        <v>#DIV/0!</v>
      </c>
      <c r="T50" s="80">
        <v>0</v>
      </c>
      <c r="U50" s="80" t="e">
        <f t="shared" si="12"/>
        <v>#DIV/0!</v>
      </c>
      <c r="V50" s="80" t="e">
        <f t="shared" si="12"/>
        <v>#DIV/0!</v>
      </c>
      <c r="W50" s="80" t="e">
        <f t="shared" si="12"/>
        <v>#DIV/0!</v>
      </c>
      <c r="X50" s="80" t="e">
        <f t="shared" si="12"/>
        <v>#DIV/0!</v>
      </c>
      <c r="Y50" s="80" t="e">
        <f t="shared" si="12"/>
        <v>#DIV/0!</v>
      </c>
      <c r="Z50" s="80" t="e">
        <f t="shared" si="12"/>
        <v>#DIV/0!</v>
      </c>
      <c r="AA50" s="80" t="e">
        <f t="shared" si="12"/>
        <v>#DIV/0!</v>
      </c>
      <c r="AB50" s="80" t="e">
        <f t="shared" si="12"/>
        <v>#DIV/0!</v>
      </c>
      <c r="AC50" s="80" t="e">
        <f t="shared" si="12"/>
        <v>#DIV/0!</v>
      </c>
      <c r="AD50" s="80" t="e">
        <f t="shared" si="12"/>
        <v>#DIV/0!</v>
      </c>
      <c r="AE50" s="80" t="e">
        <f t="shared" si="12"/>
        <v>#DIV/0!</v>
      </c>
      <c r="AF50" s="80" t="e">
        <f t="shared" si="12"/>
        <v>#DIV/0!</v>
      </c>
      <c r="AG50" s="80" t="e">
        <f t="shared" si="12"/>
        <v>#DIV/0!</v>
      </c>
      <c r="AH50" s="80" t="e">
        <f t="shared" si="12"/>
        <v>#DIV/0!</v>
      </c>
      <c r="AI50" s="80" t="e">
        <f t="shared" si="12"/>
        <v>#DIV/0!</v>
      </c>
      <c r="AJ50" s="80" t="e">
        <f t="shared" si="12"/>
        <v>#DIV/0!</v>
      </c>
      <c r="AK50" s="80" t="e">
        <f t="shared" si="12"/>
        <v>#DIV/0!</v>
      </c>
      <c r="AL50" s="80" t="e">
        <f t="shared" si="12"/>
        <v>#DIV/0!</v>
      </c>
      <c r="AM50" s="80" t="e">
        <f t="shared" si="12"/>
        <v>#DIV/0!</v>
      </c>
      <c r="AN50" s="80" t="e">
        <f t="shared" si="12"/>
        <v>#DIV/0!</v>
      </c>
      <c r="AO50" s="80" t="e">
        <f t="shared" si="12"/>
        <v>#DIV/0!</v>
      </c>
      <c r="AP50" s="80" t="e">
        <f t="shared" si="12"/>
        <v>#DIV/0!</v>
      </c>
      <c r="AQ50" s="80" t="e">
        <f t="shared" si="12"/>
        <v>#DIV/0!</v>
      </c>
      <c r="AR50" s="80" t="e">
        <f t="shared" si="12"/>
        <v>#DIV/0!</v>
      </c>
    </row>
    <row r="51" spans="1:47" x14ac:dyDescent="0.2">
      <c r="A51" s="20"/>
      <c r="B51" s="20"/>
      <c r="C51" s="20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92">
        <f>SUM(B51:AK51)</f>
        <v>0</v>
      </c>
      <c r="AM51" s="20">
        <f>+AC51+S51+X51+AD51+AG51+U51+AJ51</f>
        <v>0</v>
      </c>
      <c r="AN51" s="20">
        <f>+D51+I51+O51+R51+T51+Z51+E51+Y51+AH51+F51</f>
        <v>0</v>
      </c>
      <c r="AO51">
        <f>+B51+Q51+AE51+AK51+AI51+L51+M51+W51+V51+AB51+N51+K51+H51+G51+J51+P51+C51+AA51+AF51</f>
        <v>0</v>
      </c>
      <c r="AP51" s="20">
        <f>+R51+W51+Z51+AK51+O51+I51+F51</f>
        <v>0</v>
      </c>
      <c r="AQ51" s="20">
        <f>+B51+D51+K51+L51+M51+Q51+S51+T51+X51+AC51+AD51+AE51+AG51+AI51+U51+E51+AJ51+Y51+N51+G51+AH51+AA51+AF51</f>
        <v>0</v>
      </c>
      <c r="AR51" s="20">
        <f>+AB51+V51+H51+J51+P51+C51</f>
        <v>0</v>
      </c>
    </row>
    <row r="52" spans="1:47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92"/>
      <c r="AM52" s="20"/>
      <c r="AN52" s="20"/>
      <c r="AO52" s="20"/>
      <c r="AP52" s="20"/>
      <c r="AQ52" s="20"/>
      <c r="AR52" s="20"/>
    </row>
    <row r="53" spans="1:47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1"/>
      <c r="AC53" s="1"/>
      <c r="AD53" s="1"/>
      <c r="AE53" s="1"/>
      <c r="AF53" s="1"/>
      <c r="AG53" s="1"/>
      <c r="AH53" s="1"/>
      <c r="AL53" s="5"/>
    </row>
    <row r="54" spans="1:47" x14ac:dyDescent="0.2">
      <c r="A54" t="s">
        <v>1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92">
        <f>SUM(B54:AK54)</f>
        <v>0</v>
      </c>
      <c r="AM54">
        <f>+AC54+S54+X54+AD54+AG54+U54+AJ54</f>
        <v>0</v>
      </c>
      <c r="AN54" s="20">
        <f>+D54+I54+O54+R54+T54+Z54+E54+Y54+AH54+F54</f>
        <v>0</v>
      </c>
      <c r="AO54">
        <f>+B54+Q54+AE54+AK54+AI54+L54+M54+W54+V54+AB54+N54+K54+H54+G54+J54+P54+C54+AA54+AF54</f>
        <v>0</v>
      </c>
      <c r="AP54">
        <f>+R54+W54+Z54+AK54+O54+I54+F54</f>
        <v>0</v>
      </c>
      <c r="AQ54" s="20">
        <f>+B54+D54+K54+L54+M54+Q54+S54+T54+X54+AC54+AD54+AE54+AG54+AI54+U54+E54+AJ54+Y54+N54+G54+AH54+AA54+AF54</f>
        <v>0</v>
      </c>
      <c r="AR54" s="20">
        <f>+AB54+V54+H54+J54+P54+C54</f>
        <v>0</v>
      </c>
      <c r="AS54">
        <f>+AM54+AN54+AO54</f>
        <v>0</v>
      </c>
      <c r="AT54">
        <f>+AP54+AQ54+AR54</f>
        <v>0</v>
      </c>
      <c r="AU54">
        <f>+AR54+AQ54+AP54</f>
        <v>0</v>
      </c>
    </row>
    <row r="55" spans="1:47" x14ac:dyDescent="0.2">
      <c r="A55" t="s">
        <v>2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92">
        <f>SUM(B55:AK55)</f>
        <v>0</v>
      </c>
      <c r="AM55">
        <f>+AC55+S55+X55+AD55+AG55+U55+AJ55</f>
        <v>0</v>
      </c>
      <c r="AN55" s="48">
        <f>+D55+I55+O55+R55+T55+Z55+E55+Y55+AH55+F55</f>
        <v>0</v>
      </c>
      <c r="AO55">
        <f>+B55+Q55+AE55+AK55+AI55+L55+M55+W55+V55+AB55+N55+K55+H55+G55+J55+P55+C55+AA55+AF55</f>
        <v>0</v>
      </c>
      <c r="AP55">
        <f>+R55+W55+Z55+AK55+O55+I55+F55</f>
        <v>0</v>
      </c>
      <c r="AQ55" s="20">
        <f>+B55+D55+K55+L55+M55+Q55+S55+T55+X55+AC55+AD55+AE55+AG55+AI55+U55+E55+AJ55+Y55+N55+G55+AH55+AA55+AF55</f>
        <v>0</v>
      </c>
      <c r="AR55" s="20">
        <f>+AB55+V55+H55+J55+P55+C55</f>
        <v>0</v>
      </c>
      <c r="AS55">
        <f>+AM55+AN55+AO55</f>
        <v>0</v>
      </c>
      <c r="AT55">
        <f>+AP55+AQ55+AR55</f>
        <v>0</v>
      </c>
      <c r="AU55">
        <f>+AR55+AQ55+AP55</f>
        <v>0</v>
      </c>
    </row>
    <row r="56" spans="1:47" x14ac:dyDescent="0.2">
      <c r="A56" t="s">
        <v>4</v>
      </c>
      <c r="B56" s="80">
        <v>0</v>
      </c>
      <c r="C56" s="80" t="e">
        <f>+C55/C54</f>
        <v>#DIV/0!</v>
      </c>
      <c r="D56" s="80" t="e">
        <f>+D55/D54</f>
        <v>#DIV/0!</v>
      </c>
      <c r="E56" s="80"/>
      <c r="F56" s="80" t="e">
        <f>+F55/F54</f>
        <v>#DIV/0!</v>
      </c>
      <c r="G56" s="80" t="e">
        <f>+G55/G54</f>
        <v>#DIV/0!</v>
      </c>
      <c r="H56" s="80" t="e">
        <f>+H55/H54</f>
        <v>#DIV/0!</v>
      </c>
      <c r="I56" s="80">
        <v>0</v>
      </c>
      <c r="J56" s="80"/>
      <c r="K56" s="80" t="e">
        <f>+K55/K54</f>
        <v>#DIV/0!</v>
      </c>
      <c r="L56" s="80"/>
      <c r="M56" s="80" t="e">
        <f>+M55/M54</f>
        <v>#DIV/0!</v>
      </c>
      <c r="N56" s="80">
        <v>0</v>
      </c>
      <c r="O56" s="80">
        <v>0</v>
      </c>
      <c r="P56" s="80" t="e">
        <f>+P55/P54</f>
        <v>#DIV/0!</v>
      </c>
      <c r="Q56" s="80">
        <v>0</v>
      </c>
      <c r="R56" s="80" t="e">
        <f>+R55/R54</f>
        <v>#DIV/0!</v>
      </c>
      <c r="S56" s="80" t="e">
        <f>+S55/S54</f>
        <v>#DIV/0!</v>
      </c>
      <c r="T56" s="80">
        <v>0</v>
      </c>
      <c r="U56" s="80" t="e">
        <f>+U55/U54</f>
        <v>#DIV/0!</v>
      </c>
      <c r="V56" s="80" t="e">
        <f>+V55/V54</f>
        <v>#DIV/0!</v>
      </c>
      <c r="W56" s="80">
        <v>0</v>
      </c>
      <c r="X56" s="80" t="e">
        <f>+X55/X54</f>
        <v>#DIV/0!</v>
      </c>
      <c r="Y56" s="80">
        <v>0</v>
      </c>
      <c r="Z56" s="80">
        <v>0</v>
      </c>
      <c r="AA56" s="80" t="e">
        <f t="shared" ref="AA56:AJ56" si="13">+AA55/AA54</f>
        <v>#DIV/0!</v>
      </c>
      <c r="AB56" s="80" t="e">
        <f t="shared" si="13"/>
        <v>#DIV/0!</v>
      </c>
      <c r="AC56" s="80" t="e">
        <f t="shared" si="13"/>
        <v>#DIV/0!</v>
      </c>
      <c r="AD56" s="80" t="e">
        <f t="shared" si="13"/>
        <v>#DIV/0!</v>
      </c>
      <c r="AE56" s="80" t="e">
        <f t="shared" si="13"/>
        <v>#DIV/0!</v>
      </c>
      <c r="AF56" s="80">
        <v>0</v>
      </c>
      <c r="AG56" s="80" t="e">
        <f t="shared" si="13"/>
        <v>#DIV/0!</v>
      </c>
      <c r="AH56" s="80" t="e">
        <f t="shared" si="13"/>
        <v>#DIV/0!</v>
      </c>
      <c r="AI56" s="80" t="e">
        <f t="shared" si="13"/>
        <v>#DIV/0!</v>
      </c>
      <c r="AJ56" s="80" t="e">
        <f t="shared" si="13"/>
        <v>#DIV/0!</v>
      </c>
      <c r="AK56" s="80">
        <v>0</v>
      </c>
      <c r="AL56" s="80" t="e">
        <f t="shared" ref="AL56:AR56" si="14">+AL55/AL54</f>
        <v>#DIV/0!</v>
      </c>
      <c r="AM56" s="80" t="e">
        <f t="shared" si="14"/>
        <v>#DIV/0!</v>
      </c>
      <c r="AN56" s="80" t="e">
        <f t="shared" si="14"/>
        <v>#DIV/0!</v>
      </c>
      <c r="AO56" s="80" t="e">
        <f t="shared" si="14"/>
        <v>#DIV/0!</v>
      </c>
      <c r="AP56" s="80" t="e">
        <f t="shared" si="14"/>
        <v>#DIV/0!</v>
      </c>
      <c r="AQ56" s="80" t="e">
        <f t="shared" si="14"/>
        <v>#DIV/0!</v>
      </c>
      <c r="AR56" s="80" t="e">
        <f t="shared" si="14"/>
        <v>#DIV/0!</v>
      </c>
    </row>
    <row r="57" spans="1:47" x14ac:dyDescent="0.2">
      <c r="A57" s="4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8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92">
        <f>SUM(B57:AK57)</f>
        <v>0</v>
      </c>
      <c r="AM57" s="20">
        <f>+AC57+S57+X57+AD57+AG57+U57+AJ57</f>
        <v>0</v>
      </c>
      <c r="AN57" s="20">
        <f>+D57+I57+O57+R57+T57+Z57+E57+Y57+AH57+F57</f>
        <v>0</v>
      </c>
      <c r="AO57">
        <f>+B57+Q57+AE57+AK57+AI57+L57+M57+W57+V57+AB57+N57+K57+H57+G57+J57+P57+C57+AA57+AF57</f>
        <v>0</v>
      </c>
      <c r="AP57" s="20">
        <f>+R57+W57+Z57+AK57+O57+I57+F57</f>
        <v>0</v>
      </c>
      <c r="AQ57" s="20">
        <f>+B57+D57+K57+L57+M57+Q57+S57+T57+X57+AC57+AD57+AE57+AG57+AI57+U57+E57+AJ57+Y57+N57+G57+AH57+AA57+AF57</f>
        <v>0</v>
      </c>
      <c r="AR57" s="20">
        <f>+AB57+V57+H57+J57+P57+C57</f>
        <v>0</v>
      </c>
    </row>
    <row r="58" spans="1:47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92"/>
      <c r="AM58" s="20"/>
      <c r="AN58" s="20"/>
      <c r="AO58" s="20"/>
      <c r="AP58" s="20"/>
      <c r="AQ58" s="20"/>
      <c r="AR58" s="20"/>
    </row>
    <row r="59" spans="1:47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1"/>
      <c r="AC59" s="1"/>
      <c r="AD59" s="4"/>
      <c r="AE59" s="1"/>
      <c r="AF59" s="1"/>
      <c r="AG59" s="1"/>
      <c r="AH59" s="1"/>
      <c r="AL59" s="5"/>
    </row>
    <row r="60" spans="1:47" x14ac:dyDescent="0.2">
      <c r="A60" t="s">
        <v>1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92">
        <f>SUM(B60:AK60)</f>
        <v>0</v>
      </c>
      <c r="AM60">
        <f>+AC60+S60+X60+AD60+AG60+U60+AJ60</f>
        <v>0</v>
      </c>
      <c r="AN60" s="20">
        <f>+D60+I60+O60+R60+T60+Z60+E60+Y60+AH60+F60</f>
        <v>0</v>
      </c>
      <c r="AO60">
        <f>+B60+Q60+AE60+AK60+AI60+L60+M60+W60+V60+AB60+N60+K60+H60+G60+J60+P60+C60+AA60+AF60</f>
        <v>0</v>
      </c>
      <c r="AP60">
        <f>+R60+W60+Z60+AK60+O60+I60+F60</f>
        <v>0</v>
      </c>
      <c r="AQ60" s="20">
        <f>+B60+D60+K60+L60+M60+Q60+S60+T60+X60+AC60+AD60+AE60+AG60+AI60+U60+E60+AJ60+Y60+N60+G60+AH60+AA60+AF60</f>
        <v>0</v>
      </c>
      <c r="AR60" s="20">
        <f>+AB60+V60+H60+J60+P60+C60</f>
        <v>0</v>
      </c>
      <c r="AS60">
        <f>+AM60+AN60+AO60</f>
        <v>0</v>
      </c>
      <c r="AT60">
        <f>+AP60+AQ60+AR60</f>
        <v>0</v>
      </c>
    </row>
    <row r="61" spans="1:47" x14ac:dyDescent="0.2">
      <c r="A61" t="s">
        <v>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92">
        <f>SUM(B61:AK61)</f>
        <v>0</v>
      </c>
      <c r="AM61">
        <f>+AC61+S61+X61+AD61+AG61+U61+AJ61</f>
        <v>0</v>
      </c>
      <c r="AN61" s="48">
        <f>+D61+I61+O61+R61+T61+Z61+E61+Y61+AH61+F61</f>
        <v>0</v>
      </c>
      <c r="AO61">
        <f>+B61+Q61+AE61+AK61+AI61+L61+M61+W61+V61+AB61+N61+K61+H61+G61+J61+P61+C61+AA61+AF61</f>
        <v>0</v>
      </c>
      <c r="AP61">
        <f>+R61+W61+Z61+AK61+O61+I61+F61</f>
        <v>0</v>
      </c>
      <c r="AQ61" s="20">
        <f>+B61+D61+K61+L61+M61+Q61+S61+T61+X61+AC61+AD61+AE61+AG61+AI61+U61+E61+AJ61+Y61+N61+G61+AH61+AA61+AF61</f>
        <v>0</v>
      </c>
      <c r="AR61" s="20">
        <f>+AB61+V61+H61+J61+P61+C61</f>
        <v>0</v>
      </c>
      <c r="AS61">
        <f>+AM61+AN61+AO61</f>
        <v>0</v>
      </c>
      <c r="AT61">
        <f>+AP61+AQ61+AR61</f>
        <v>0</v>
      </c>
    </row>
    <row r="62" spans="1:47" x14ac:dyDescent="0.2">
      <c r="A62" t="s">
        <v>4</v>
      </c>
      <c r="B62" s="87">
        <v>0</v>
      </c>
      <c r="C62" s="87" t="e">
        <f t="shared" ref="C62" si="15">+C61/C60</f>
        <v>#DIV/0!</v>
      </c>
      <c r="D62" s="87" t="e">
        <f>+D61/D60</f>
        <v>#DIV/0!</v>
      </c>
      <c r="E62" s="87"/>
      <c r="F62" s="87" t="e">
        <f t="shared" ref="F62:N62" si="16">+F61/F60</f>
        <v>#DIV/0!</v>
      </c>
      <c r="G62" s="87" t="e">
        <f t="shared" si="16"/>
        <v>#DIV/0!</v>
      </c>
      <c r="H62" s="87" t="e">
        <f t="shared" si="16"/>
        <v>#DIV/0!</v>
      </c>
      <c r="I62" s="87" t="e">
        <f t="shared" si="16"/>
        <v>#DIV/0!</v>
      </c>
      <c r="J62" s="38"/>
      <c r="K62" s="87" t="e">
        <f t="shared" si="16"/>
        <v>#DIV/0!</v>
      </c>
      <c r="L62" s="38"/>
      <c r="M62" s="87" t="e">
        <f t="shared" si="16"/>
        <v>#DIV/0!</v>
      </c>
      <c r="N62" s="87" t="e">
        <f t="shared" si="16"/>
        <v>#DIV/0!</v>
      </c>
      <c r="O62" s="87" t="e">
        <f>+O61/O60</f>
        <v>#DIV/0!</v>
      </c>
      <c r="P62" s="87" t="e">
        <f>+P61/P60</f>
        <v>#DIV/0!</v>
      </c>
      <c r="Q62" s="87">
        <v>0</v>
      </c>
      <c r="R62" s="87" t="e">
        <f t="shared" ref="R62:Z62" si="17">+R61/R60</f>
        <v>#DIV/0!</v>
      </c>
      <c r="S62" s="87" t="e">
        <f t="shared" si="17"/>
        <v>#DIV/0!</v>
      </c>
      <c r="T62" s="87">
        <v>0</v>
      </c>
      <c r="U62" s="87" t="e">
        <f t="shared" si="17"/>
        <v>#DIV/0!</v>
      </c>
      <c r="V62" s="87" t="e">
        <f t="shared" si="17"/>
        <v>#DIV/0!</v>
      </c>
      <c r="W62" s="87" t="e">
        <f t="shared" si="17"/>
        <v>#DIV/0!</v>
      </c>
      <c r="X62" s="87" t="e">
        <f t="shared" si="17"/>
        <v>#DIV/0!</v>
      </c>
      <c r="Y62" s="87" t="e">
        <f t="shared" si="17"/>
        <v>#DIV/0!</v>
      </c>
      <c r="Z62" s="87" t="e">
        <f t="shared" si="17"/>
        <v>#DIV/0!</v>
      </c>
      <c r="AA62" s="87">
        <v>0</v>
      </c>
      <c r="AB62" s="87" t="e">
        <f t="shared" ref="AB62:AJ62" si="18">+AB61/AB60</f>
        <v>#DIV/0!</v>
      </c>
      <c r="AC62" s="87" t="e">
        <f t="shared" si="18"/>
        <v>#DIV/0!</v>
      </c>
      <c r="AD62" s="87" t="e">
        <f t="shared" si="18"/>
        <v>#DIV/0!</v>
      </c>
      <c r="AE62" s="87" t="e">
        <f t="shared" si="18"/>
        <v>#DIV/0!</v>
      </c>
      <c r="AF62" s="87"/>
      <c r="AG62" s="87" t="e">
        <f t="shared" si="18"/>
        <v>#DIV/0!</v>
      </c>
      <c r="AH62" s="87" t="e">
        <f t="shared" si="18"/>
        <v>#DIV/0!</v>
      </c>
      <c r="AI62" s="87" t="e">
        <f t="shared" si="18"/>
        <v>#DIV/0!</v>
      </c>
      <c r="AJ62" s="87" t="e">
        <f t="shared" si="18"/>
        <v>#DIV/0!</v>
      </c>
      <c r="AK62" s="87">
        <v>0</v>
      </c>
      <c r="AL62" s="80" t="e">
        <f t="shared" ref="AL62:AR62" si="19">+AL61/AL60</f>
        <v>#DIV/0!</v>
      </c>
      <c r="AM62" s="80" t="e">
        <f t="shared" si="19"/>
        <v>#DIV/0!</v>
      </c>
      <c r="AN62" s="80" t="e">
        <f t="shared" si="19"/>
        <v>#DIV/0!</v>
      </c>
      <c r="AO62" s="80" t="e">
        <f t="shared" si="19"/>
        <v>#DIV/0!</v>
      </c>
      <c r="AP62" s="80" t="e">
        <f t="shared" si="19"/>
        <v>#DIV/0!</v>
      </c>
      <c r="AQ62" s="80" t="e">
        <f t="shared" si="19"/>
        <v>#DIV/0!</v>
      </c>
      <c r="AR62" s="80" t="e">
        <f t="shared" si="19"/>
        <v>#DIV/0!</v>
      </c>
      <c r="AT62" s="88"/>
    </row>
    <row r="63" spans="1:47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92">
        <f>SUM(B63:AK63)</f>
        <v>0</v>
      </c>
      <c r="AM63" s="20">
        <f>+AC63+S63+X63+AD63+AG63+U63+AJ63</f>
        <v>0</v>
      </c>
      <c r="AN63" s="20">
        <f>+D63+I63+O63+R63+T63+Z63+E63+Y63+AH63+F63</f>
        <v>0</v>
      </c>
      <c r="AO63">
        <f>+B63+Q63+AE63+AK63+AI63+L63+M63+W63+V63+AB63+N63+K63+H63+G63+J63+P63+C63+AA63+AF63</f>
        <v>0</v>
      </c>
      <c r="AP63" s="20">
        <f>+R63+W63+Z63+AK63+O63+I63+F63</f>
        <v>0</v>
      </c>
      <c r="AQ63" s="20">
        <f>+B63+D63+K63+L63+M63+Q63+S63+T63+X63+AC63+AD63+AE63+AG63+AI63+U63+E63+AJ63+Y63+N63+G63+AH63+AA63+AF63</f>
        <v>0</v>
      </c>
      <c r="AR63" s="20">
        <f>+AB63+V63+H63+J63+P63+C63</f>
        <v>0</v>
      </c>
    </row>
    <row r="64" spans="1:47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92"/>
      <c r="AM64" s="20"/>
      <c r="AN64" s="20"/>
      <c r="AO64" s="20"/>
      <c r="AP64" s="20"/>
      <c r="AQ64" s="20"/>
      <c r="AR64" s="20"/>
    </row>
    <row r="65" spans="1:46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1"/>
      <c r="AC65" s="1"/>
      <c r="AD65" s="1"/>
      <c r="AE65" s="1"/>
      <c r="AF65" s="1"/>
      <c r="AG65" s="1"/>
      <c r="AH65" s="1"/>
      <c r="AL65" s="5"/>
    </row>
    <row r="66" spans="1:46" x14ac:dyDescent="0.2">
      <c r="A66" t="s">
        <v>1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92">
        <f>SUM(B66:AK66)</f>
        <v>0</v>
      </c>
      <c r="AM66">
        <f>+AC66+S66+X66+AD66+AG66+U66+AJ66</f>
        <v>0</v>
      </c>
      <c r="AN66" s="20">
        <f>+D66+I66+O66+R66+T66+Z66+E66+Y66+AH66+F66</f>
        <v>0</v>
      </c>
      <c r="AO66">
        <f>+B66+Q66+AE66+AK66+AI66+L66+M66+W66+V66+AB66+N66+K66+H66+G66+J66+P66+C66+AA66</f>
        <v>0</v>
      </c>
      <c r="AP66">
        <f>+R66+W66+Z66+AK66+O66+I66+F66</f>
        <v>0</v>
      </c>
      <c r="AQ66" s="20">
        <f>+B66+D66+K66+L66+M66+Q66+S66+T66+X66+AC66+AD66+AE66+AG66+AI66+U66+E66+AJ66+Y66+N66+G66+AH66+AA66</f>
        <v>0</v>
      </c>
      <c r="AR66" s="20">
        <f>+AB66+V66+H66+J66+P66+C66</f>
        <v>0</v>
      </c>
      <c r="AS66">
        <f>+AM66+AN66+AO66</f>
        <v>0</v>
      </c>
      <c r="AT66">
        <f>+AP66+AQ66+AR66</f>
        <v>0</v>
      </c>
    </row>
    <row r="67" spans="1:46" x14ac:dyDescent="0.2">
      <c r="A67" t="s">
        <v>2</v>
      </c>
      <c r="B67" s="38"/>
      <c r="C67" s="38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92">
        <f>SUM(B67:AK67)</f>
        <v>0</v>
      </c>
      <c r="AM67">
        <f>+AC67+S67+X67+AD67+AG67+U67+AJ67</f>
        <v>0</v>
      </c>
      <c r="AN67" s="48">
        <f>+D67+I67+O67+R67+T67+Z67+E67+Y67+AH67+F67</f>
        <v>0</v>
      </c>
      <c r="AO67">
        <f>+B67+Q67+AE67+AK67+AI67+L67+M67+W67+V67+AB67+N67+K67+H67+G67+J67+P67+C67+AA67</f>
        <v>0</v>
      </c>
      <c r="AP67">
        <f>+R67+W67+Z67+AK67+O67+I67+F67</f>
        <v>0</v>
      </c>
      <c r="AQ67" s="20">
        <f>+B67+D67+K67+L67+M67+Q67+S67+T67+X67+AC67+AD67+AE67+AG67+AI67+U67+E67+AJ67+Y67+N67+G67+AH67+AA67</f>
        <v>0</v>
      </c>
      <c r="AR67" s="20">
        <f>+AB67+V67+H67+J67+P67+C67</f>
        <v>0</v>
      </c>
      <c r="AS67">
        <f>+AM67+AN67+AO67</f>
        <v>0</v>
      </c>
      <c r="AT67">
        <f>+AP67+AQ67+AR67</f>
        <v>0</v>
      </c>
    </row>
    <row r="68" spans="1:46" x14ac:dyDescent="0.2">
      <c r="A68" t="s">
        <v>4</v>
      </c>
      <c r="B68" s="3" t="e">
        <f>+B67/B66</f>
        <v>#DIV/0!</v>
      </c>
      <c r="C68" s="3" t="e">
        <f>+C67/C66</f>
        <v>#DIV/0!</v>
      </c>
      <c r="D68" s="3" t="e">
        <f>+D67/D66</f>
        <v>#DIV/0!</v>
      </c>
      <c r="E68" s="3"/>
      <c r="F68" s="3" t="e">
        <f t="shared" ref="F68:AB68" si="20">+F67/F66</f>
        <v>#DIV/0!</v>
      </c>
      <c r="G68" s="3" t="e">
        <f t="shared" si="20"/>
        <v>#DIV/0!</v>
      </c>
      <c r="H68" s="3" t="e">
        <f t="shared" si="20"/>
        <v>#DIV/0!</v>
      </c>
      <c r="I68" s="3" t="e">
        <f t="shared" si="20"/>
        <v>#DIV/0!</v>
      </c>
      <c r="J68" s="3"/>
      <c r="K68" s="3" t="e">
        <f t="shared" si="20"/>
        <v>#DIV/0!</v>
      </c>
      <c r="L68" s="3"/>
      <c r="M68" s="3" t="e">
        <f t="shared" si="20"/>
        <v>#DIV/0!</v>
      </c>
      <c r="N68" s="3" t="e">
        <f t="shared" si="20"/>
        <v>#DIV/0!</v>
      </c>
      <c r="O68" s="3" t="e">
        <f t="shared" si="20"/>
        <v>#DIV/0!</v>
      </c>
      <c r="P68" s="3" t="e">
        <f t="shared" si="20"/>
        <v>#DIV/0!</v>
      </c>
      <c r="Q68" s="3" t="e">
        <f t="shared" si="20"/>
        <v>#DIV/0!</v>
      </c>
      <c r="R68" s="3" t="e">
        <f t="shared" si="20"/>
        <v>#DIV/0!</v>
      </c>
      <c r="S68" s="3" t="e">
        <f t="shared" si="20"/>
        <v>#DIV/0!</v>
      </c>
      <c r="T68" s="3">
        <v>0</v>
      </c>
      <c r="U68" s="3" t="e">
        <f t="shared" si="20"/>
        <v>#DIV/0!</v>
      </c>
      <c r="V68" s="3" t="e">
        <f t="shared" si="20"/>
        <v>#DIV/0!</v>
      </c>
      <c r="W68" s="3" t="e">
        <f t="shared" si="20"/>
        <v>#DIV/0!</v>
      </c>
      <c r="X68" s="3" t="e">
        <f t="shared" si="20"/>
        <v>#DIV/0!</v>
      </c>
      <c r="Y68" s="3" t="e">
        <f t="shared" si="20"/>
        <v>#DIV/0!</v>
      </c>
      <c r="Z68" s="3" t="e">
        <f t="shared" si="20"/>
        <v>#DIV/0!</v>
      </c>
      <c r="AA68" s="3" t="e">
        <f t="shared" si="20"/>
        <v>#DIV/0!</v>
      </c>
      <c r="AB68" s="3" t="e">
        <f t="shared" si="20"/>
        <v>#DIV/0!</v>
      </c>
      <c r="AC68" s="3" t="e">
        <f>+AC67/AC66</f>
        <v>#DIV/0!</v>
      </c>
      <c r="AD68" s="3" t="e">
        <f>+AD67/AD66</f>
        <v>#DIV/0!</v>
      </c>
      <c r="AE68" s="3" t="e">
        <f>+AE67/AE66</f>
        <v>#DIV/0!</v>
      </c>
      <c r="AF68" s="3"/>
      <c r="AG68" s="3" t="e">
        <f>+AG67/AG66</f>
        <v>#DIV/0!</v>
      </c>
      <c r="AH68" s="3" t="e">
        <f>+AH67/AH66</f>
        <v>#DIV/0!</v>
      </c>
      <c r="AI68" s="3" t="e">
        <f t="shared" ref="AI68:AR68" si="21">+AI67/AI66</f>
        <v>#DIV/0!</v>
      </c>
      <c r="AJ68" s="3" t="e">
        <f t="shared" si="21"/>
        <v>#DIV/0!</v>
      </c>
      <c r="AK68" s="3" t="e">
        <f t="shared" si="21"/>
        <v>#DIV/0!</v>
      </c>
      <c r="AL68" s="6" t="e">
        <f t="shared" si="21"/>
        <v>#DIV/0!</v>
      </c>
      <c r="AM68" s="3" t="e">
        <f t="shared" si="21"/>
        <v>#DIV/0!</v>
      </c>
      <c r="AN68" s="3" t="e">
        <f t="shared" si="21"/>
        <v>#DIV/0!</v>
      </c>
      <c r="AO68" s="3" t="e">
        <f t="shared" si="21"/>
        <v>#DIV/0!</v>
      </c>
      <c r="AP68" s="3" t="e">
        <f t="shared" si="21"/>
        <v>#DIV/0!</v>
      </c>
      <c r="AQ68" s="3" t="e">
        <f t="shared" si="21"/>
        <v>#DIV/0!</v>
      </c>
      <c r="AR68" s="3" t="e">
        <f t="shared" si="21"/>
        <v>#DIV/0!</v>
      </c>
    </row>
    <row r="69" spans="1:46" x14ac:dyDescent="0.2">
      <c r="A69" s="20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92">
        <f>SUM(B69:AK69)</f>
        <v>0</v>
      </c>
      <c r="AM69" s="20">
        <f>+AC69+S69+X69+AD69+AG69+U69+AJ69</f>
        <v>0</v>
      </c>
      <c r="AN69" s="20">
        <f>+D69+I69+O69+R69+T69+Z69+E69+Y69+AH69+F69</f>
        <v>0</v>
      </c>
      <c r="AO69">
        <f>+B69+Q69+AE69+AK69+AI69+L69+M69+W69+V69+AB69+N69+K69+H69+G69+J69+P69+C69+AA69</f>
        <v>0</v>
      </c>
      <c r="AP69" s="20">
        <f>+R69+W69+Z69+AK69+O69+I69+F69</f>
        <v>0</v>
      </c>
      <c r="AQ69" s="20">
        <f>+B69+D69+K69+L69+M69+Q69+S69+T69+X69+AC69+AD69+AE69+AG69+AI69+U69+E69+AJ69+Y69+N69+G69+AH69+AA69</f>
        <v>0</v>
      </c>
      <c r="AR69" s="20">
        <f>+AB69+V69+H69+J69+P69+C69</f>
        <v>0</v>
      </c>
    </row>
    <row r="70" spans="1:46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92"/>
      <c r="AM70" s="20"/>
      <c r="AN70" s="20"/>
      <c r="AO70" s="20"/>
      <c r="AP70" s="20"/>
      <c r="AQ70" s="20"/>
      <c r="AR70" s="20"/>
    </row>
    <row r="71" spans="1:46" x14ac:dyDescent="0.2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 t="s">
        <v>15</v>
      </c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5"/>
    </row>
    <row r="72" spans="1:46" x14ac:dyDescent="0.2">
      <c r="A72" t="s">
        <v>1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92">
        <f>SUM(B72:AK72)</f>
        <v>0</v>
      </c>
      <c r="AM72">
        <f>+AC72+S72+X72+AD72+AG72+U72+AJ72</f>
        <v>0</v>
      </c>
      <c r="AN72" s="20">
        <f>+D72+I72+O72+R72+T72+Z72+E72+Y72+AH72+F72</f>
        <v>0</v>
      </c>
      <c r="AO72">
        <f>+B72+Q72+AE72+AK72+AI72+L72+M72+W72+V72+AB72+N72+K72+H72+G72+J72+P72+C72+AA72+AF72</f>
        <v>0</v>
      </c>
      <c r="AP72">
        <f>+R72+W72+Z72+AK72+O72+I72+F72</f>
        <v>0</v>
      </c>
      <c r="AQ72" s="20">
        <f>+B72+D72+K72+L72+M72+Q72+S72+T72+X72+AC72+AD72+AE72+AG72+AI72+U72+E72+AJ72+Y72+N72+G72+AH72+AA72+AF72</f>
        <v>0</v>
      </c>
      <c r="AR72" s="20">
        <f>+AB72+V72+H72+J72+P72+C72</f>
        <v>0</v>
      </c>
      <c r="AS72">
        <f>+AM72+AN72+AO72</f>
        <v>0</v>
      </c>
      <c r="AT72">
        <f>+AP72+AQ72+AR72</f>
        <v>0</v>
      </c>
    </row>
    <row r="73" spans="1:46" x14ac:dyDescent="0.2">
      <c r="A73" t="s">
        <v>2</v>
      </c>
      <c r="B73" s="38"/>
      <c r="C73" s="38"/>
      <c r="D73" s="38"/>
      <c r="E73" s="90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92">
        <f>SUM(B73:AK73)</f>
        <v>0</v>
      </c>
      <c r="AM73">
        <f>+AC73+S73+X73+AD73+AG73+U73+AJ73</f>
        <v>0</v>
      </c>
      <c r="AN73" s="48">
        <f>+D73+I73+O73+R73+T73+Z73+E73+Y73+AH73+F73</f>
        <v>0</v>
      </c>
      <c r="AO73">
        <f>+B73+Q73+AE73+AK73+AI73+L73+M73+W73+V73+AB73+N73+K73+H73+G73+J73+P73+C73+AA73+AF73</f>
        <v>0</v>
      </c>
      <c r="AP73">
        <f>+R73+W73+Z73+AK73+O73+I73+F73</f>
        <v>0</v>
      </c>
      <c r="AQ73" s="20">
        <f>+B73+D73+K73+L73+M73+Q73+S73+T73+X73+AC73+AD73+AE73+AG73+AI73+U73+E73+AJ73+Y73+N73+G73+AH73+AA73+AF73</f>
        <v>0</v>
      </c>
      <c r="AR73" s="20">
        <f>+AB73+V73+H73+J73+P73+C73</f>
        <v>0</v>
      </c>
      <c r="AS73">
        <f>+AM73+AN73+AO73</f>
        <v>0</v>
      </c>
      <c r="AT73">
        <f>+AP73+AQ73+AR73</f>
        <v>0</v>
      </c>
    </row>
    <row r="74" spans="1:46" x14ac:dyDescent="0.2">
      <c r="A74" t="s">
        <v>4</v>
      </c>
      <c r="B74" s="3" t="e">
        <f>+B73/B72</f>
        <v>#DIV/0!</v>
      </c>
      <c r="C74" s="3" t="e">
        <f>+C73/C72</f>
        <v>#DIV/0!</v>
      </c>
      <c r="D74" s="3" t="e">
        <f>+D73/D72</f>
        <v>#DIV/0!</v>
      </c>
      <c r="E74" s="3"/>
      <c r="F74" s="3" t="e">
        <f t="shared" ref="F74:AR74" si="22">+F73/F72</f>
        <v>#DIV/0!</v>
      </c>
      <c r="G74" s="3" t="e">
        <f t="shared" si="22"/>
        <v>#DIV/0!</v>
      </c>
      <c r="H74" s="3" t="e">
        <f t="shared" si="22"/>
        <v>#DIV/0!</v>
      </c>
      <c r="I74" s="3" t="e">
        <f t="shared" si="22"/>
        <v>#DIV/0!</v>
      </c>
      <c r="J74" s="3"/>
      <c r="K74" s="3" t="e">
        <f t="shared" si="22"/>
        <v>#DIV/0!</v>
      </c>
      <c r="L74" s="3"/>
      <c r="M74" s="3" t="e">
        <f t="shared" si="22"/>
        <v>#DIV/0!</v>
      </c>
      <c r="N74" s="3" t="e">
        <f t="shared" si="22"/>
        <v>#DIV/0!</v>
      </c>
      <c r="O74" s="3" t="e">
        <f t="shared" si="22"/>
        <v>#DIV/0!</v>
      </c>
      <c r="P74" s="3" t="e">
        <f t="shared" si="22"/>
        <v>#DIV/0!</v>
      </c>
      <c r="Q74" s="3" t="e">
        <f t="shared" si="22"/>
        <v>#DIV/0!</v>
      </c>
      <c r="R74" s="3" t="e">
        <f t="shared" si="22"/>
        <v>#DIV/0!</v>
      </c>
      <c r="S74" s="3" t="e">
        <f t="shared" si="22"/>
        <v>#DIV/0!</v>
      </c>
      <c r="T74" s="3" t="e">
        <f t="shared" si="22"/>
        <v>#DIV/0!</v>
      </c>
      <c r="U74" s="3" t="e">
        <f t="shared" si="22"/>
        <v>#DIV/0!</v>
      </c>
      <c r="V74" s="3" t="e">
        <f t="shared" si="22"/>
        <v>#DIV/0!</v>
      </c>
      <c r="W74" s="3" t="e">
        <f t="shared" si="22"/>
        <v>#DIV/0!</v>
      </c>
      <c r="X74" s="3" t="e">
        <f t="shared" si="22"/>
        <v>#DIV/0!</v>
      </c>
      <c r="Y74" s="3" t="e">
        <f t="shared" si="22"/>
        <v>#DIV/0!</v>
      </c>
      <c r="Z74" s="3" t="e">
        <f t="shared" si="22"/>
        <v>#DIV/0!</v>
      </c>
      <c r="AA74" s="3" t="e">
        <f t="shared" si="22"/>
        <v>#DIV/0!</v>
      </c>
      <c r="AB74" s="3" t="e">
        <f t="shared" si="22"/>
        <v>#DIV/0!</v>
      </c>
      <c r="AC74" s="3" t="e">
        <f t="shared" si="22"/>
        <v>#DIV/0!</v>
      </c>
      <c r="AD74" s="3" t="e">
        <f t="shared" si="22"/>
        <v>#DIV/0!</v>
      </c>
      <c r="AE74" s="3" t="e">
        <f t="shared" si="22"/>
        <v>#DIV/0!</v>
      </c>
      <c r="AF74" s="3" t="e">
        <f t="shared" si="22"/>
        <v>#DIV/0!</v>
      </c>
      <c r="AG74" s="3" t="e">
        <f t="shared" si="22"/>
        <v>#DIV/0!</v>
      </c>
      <c r="AH74" s="3" t="e">
        <f t="shared" si="22"/>
        <v>#DIV/0!</v>
      </c>
      <c r="AI74" s="3" t="e">
        <f t="shared" si="22"/>
        <v>#DIV/0!</v>
      </c>
      <c r="AJ74" s="3" t="e">
        <f t="shared" si="22"/>
        <v>#DIV/0!</v>
      </c>
      <c r="AK74" s="3" t="e">
        <f t="shared" si="22"/>
        <v>#DIV/0!</v>
      </c>
      <c r="AL74" s="6" t="e">
        <f t="shared" si="22"/>
        <v>#DIV/0!</v>
      </c>
      <c r="AM74" s="3" t="e">
        <f t="shared" si="22"/>
        <v>#DIV/0!</v>
      </c>
      <c r="AN74" s="3" t="e">
        <f t="shared" si="22"/>
        <v>#DIV/0!</v>
      </c>
      <c r="AO74" s="3" t="e">
        <f t="shared" si="22"/>
        <v>#DIV/0!</v>
      </c>
      <c r="AP74" s="3" t="e">
        <f t="shared" si="22"/>
        <v>#DIV/0!</v>
      </c>
      <c r="AQ74" s="3" t="e">
        <f t="shared" si="22"/>
        <v>#DIV/0!</v>
      </c>
      <c r="AR74" s="3" t="e">
        <f t="shared" si="22"/>
        <v>#DIV/0!</v>
      </c>
    </row>
    <row r="75" spans="1:46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84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92">
        <f>SUM(B75:AK75)</f>
        <v>0</v>
      </c>
      <c r="AM75" s="20">
        <f>+AC75+S75+X75+AD75+AG75+U75+AJ75</f>
        <v>0</v>
      </c>
      <c r="AN75" s="20">
        <f>+D75+I75+O75+R75+T75+Z75+E75+Y75+AH75+F75</f>
        <v>0</v>
      </c>
      <c r="AO75">
        <f>+B75+Q75+AE75+AK75+AI75+L75+M75+W75+V75+AB75+N75+K75+H75+G75+J75+P75+C75+AA75</f>
        <v>0</v>
      </c>
      <c r="AP75" s="20">
        <f>+R75+W75+Z75+AK75+O75+I75+F75</f>
        <v>0</v>
      </c>
      <c r="AQ75" s="20">
        <f>+B75+D75+K75+L75+M75+Q75+S75+T75+X75+AC75+AD75+AE75+AG75+AI75+U75+E75+AJ75+Y75+N75+G75+AH75+AA75</f>
        <v>0</v>
      </c>
      <c r="AR75" s="20">
        <f>+AB75+V75+H75+J75+P75+C75</f>
        <v>0</v>
      </c>
    </row>
    <row r="76" spans="1:46" x14ac:dyDescent="0.2">
      <c r="A76" t="s">
        <v>61</v>
      </c>
      <c r="AL76">
        <f>+AL6+AL12+AL18+AL24+AL30+AL36+AL42+AL48+AL54+AL60+AL66+AL72</f>
        <v>652376</v>
      </c>
      <c r="AM76">
        <f>+AM6+AM12+AM18+AM24+AM30+AM36+AM42+AM48+AM54+AM60+AM66+AM72</f>
        <v>400823</v>
      </c>
      <c r="AN76">
        <f>+AN6+AN12+AN18+AN24+AN30+AN36+AN42+AN48+AN54+AN60+AN66+AN72</f>
        <v>144474</v>
      </c>
      <c r="AO76">
        <f>+AO6+AO12+AO18+AO24+AO30+AO36+AO42+AO48+AO54+AO60+AO66+AO72</f>
        <v>107079</v>
      </c>
      <c r="AP76">
        <f t="shared" ref="AM76:AR77" si="23">+AP6+AP12+AP18+AP24+AP30+AP36+AP42+AP48+AP54+AP60+AP66+AP72</f>
        <v>96975</v>
      </c>
      <c r="AQ76">
        <f t="shared" si="23"/>
        <v>516028</v>
      </c>
      <c r="AR76">
        <f t="shared" si="23"/>
        <v>39373</v>
      </c>
    </row>
    <row r="77" spans="1:46" x14ac:dyDescent="0.2">
      <c r="C77" s="86">
        <f t="shared" ref="C77:C78" si="24">+C66+C60+C54+C6+C12+C18+C24+C30+C36+C42+C48+C71</f>
        <v>8520</v>
      </c>
      <c r="F77">
        <f t="shared" ref="F77:H78" si="25">+F66+F60+F54+F6+F12+F18+F24+F30+F36+F42+F48+F71</f>
        <v>22791</v>
      </c>
      <c r="G77" s="86">
        <f t="shared" si="25"/>
        <v>3621</v>
      </c>
      <c r="H77" s="86">
        <f t="shared" si="25"/>
        <v>3589</v>
      </c>
      <c r="I77">
        <f>+I66+I60+I54+I6+I12+I18+I24+I30+I36+I42+I48+I72</f>
        <v>17466</v>
      </c>
      <c r="O77">
        <f>+O66+O60+O54+O6+O12+O18+O24+O30+O36+O42+O48+O72</f>
        <v>15336</v>
      </c>
      <c r="P77" s="86">
        <f>+P66+P60+P54+P6+P12+P18+P24+P30+P36+P42+P48+P71</f>
        <v>2982</v>
      </c>
      <c r="R77">
        <f>+R66+R60+R54+R6+R12+R18+R24+R30+R36+R42+R48+R72</f>
        <v>20295</v>
      </c>
      <c r="S77">
        <f t="shared" ref="S77:U78" si="26">+S66+S60+S54+S6+S12+S18+S24+S30+S36+S42+S48+S71+S72</f>
        <v>56658</v>
      </c>
      <c r="T77">
        <f t="shared" si="26"/>
        <v>23643</v>
      </c>
      <c r="U77">
        <f t="shared" si="26"/>
        <v>39813</v>
      </c>
      <c r="X77">
        <f>+X66+X60+X54+X6+X12+X18+X24+X30+X36+X42+X48+X71+X72</f>
        <v>98832</v>
      </c>
      <c r="Z77">
        <f>+Z66+Z60+Z54+Z6+Z12+Z18+Z24+Z30+Z36+Z42+Z48+Z71</f>
        <v>8520</v>
      </c>
      <c r="AC77">
        <f t="shared" ref="AC77:AG78" si="27">+AC66+AC60+AC54+AC6+AC12+AC18+AC24+AC30+AC36+AC42+AC48+AC71</f>
        <v>37303</v>
      </c>
      <c r="AD77">
        <f t="shared" si="27"/>
        <v>79449</v>
      </c>
      <c r="AE77">
        <f t="shared" si="27"/>
        <v>2769</v>
      </c>
      <c r="AG77">
        <f t="shared" si="27"/>
        <v>50581</v>
      </c>
      <c r="AI77" s="86">
        <f>+AI66+AI60+AI54+AI6+AI12+AI18+AI24+AI30+AI36+AI42+AI48+AI71</f>
        <v>10489</v>
      </c>
      <c r="AJ77">
        <f>+AJ66+AJ60+AJ54+AJ6+AJ12+AJ18+AJ24+AJ30+AJ36+AJ42+AJ48+AJ71</f>
        <v>38187</v>
      </c>
      <c r="AK77">
        <f>+AK66+AK60+AK54+AK6+AK12+AK18+AK24+AK30+AK36+AK42+AK48+AK72</f>
        <v>7242</v>
      </c>
      <c r="AL77">
        <f>+AL7+AL13+AL19+AL25+AL31+AL37+AL43+AL49+AL55+AL61+AL67+AL73</f>
        <v>396239.76</v>
      </c>
      <c r="AM77">
        <f t="shared" si="23"/>
        <v>237316</v>
      </c>
      <c r="AN77">
        <f t="shared" si="23"/>
        <v>84683</v>
      </c>
      <c r="AO77">
        <f>+AO7+AO13+AO19+AO25+AO31+AO37+AO43+AO49+AO55+AO61+AO67+AO73</f>
        <v>74240.760000000009</v>
      </c>
      <c r="AP77">
        <f t="shared" si="23"/>
        <v>66250</v>
      </c>
      <c r="AQ77">
        <f t="shared" si="23"/>
        <v>305679</v>
      </c>
      <c r="AR77">
        <f t="shared" si="23"/>
        <v>24310.760000000002</v>
      </c>
    </row>
    <row r="78" spans="1:46" x14ac:dyDescent="0.2">
      <c r="C78">
        <f t="shared" si="24"/>
        <v>4577</v>
      </c>
      <c r="F78">
        <f t="shared" si="25"/>
        <v>15807</v>
      </c>
      <c r="G78">
        <f t="shared" si="25"/>
        <v>3060</v>
      </c>
      <c r="H78">
        <f t="shared" si="25"/>
        <v>1876</v>
      </c>
      <c r="I78">
        <f>+I67+I61+I55+I7+I13+I19+I25+I31+I37+I43+I49+I73</f>
        <v>9155</v>
      </c>
      <c r="O78">
        <f>+O67+O61+O55+O7+O13+O19+O25+O31+O37+O43+O49+O73</f>
        <v>8304</v>
      </c>
      <c r="P78">
        <f>+P67+P61+P55+P7+P13+P19+P25+P31+P37+P43+P49+P72</f>
        <v>1699</v>
      </c>
      <c r="R78">
        <f>+R67+R61+R55+R7+R13+R19+R25+R31+R37+R43+R49+R73</f>
        <v>18539</v>
      </c>
      <c r="S78">
        <f t="shared" si="26"/>
        <v>7437</v>
      </c>
      <c r="T78">
        <f t="shared" si="26"/>
        <v>6775</v>
      </c>
      <c r="U78">
        <f t="shared" si="26"/>
        <v>19820</v>
      </c>
      <c r="X78" s="71">
        <f>+X67+X61+X55+X7+X13+X19+X25+X31+X37+X43+X49+X73</f>
        <v>40172</v>
      </c>
      <c r="Z78">
        <f>+Z67+Z61+Z55+Z7+Z13+Z19+Z25+Z31+Z37+Z43+Z49+Z72</f>
        <v>5725</v>
      </c>
      <c r="AC78">
        <f t="shared" si="27"/>
        <v>24981</v>
      </c>
      <c r="AD78">
        <f t="shared" si="27"/>
        <v>70163</v>
      </c>
      <c r="AE78">
        <f t="shared" si="27"/>
        <v>1792</v>
      </c>
      <c r="AG78">
        <f t="shared" si="27"/>
        <v>41562</v>
      </c>
      <c r="AI78">
        <f>+AI67+AI61+AI55+AI7+AI13+AI19+AI25+AI31+AI37+AI43+AI49+AI72</f>
        <v>8317</v>
      </c>
      <c r="AJ78">
        <f>+AJ67+AJ61+AJ55+AJ7+AJ13+AJ19+AJ25+AJ31+AJ37+AJ43+AJ49+AJ72</f>
        <v>33181</v>
      </c>
      <c r="AK78">
        <f>+AK67+AK61+AK55+AK7+AK13+AK19+AK25+AK31+AK37+AK43+AK49+AK73</f>
        <v>4358</v>
      </c>
      <c r="AL78" s="81">
        <f t="shared" ref="AL78:AR78" si="28">+AL77/AL76</f>
        <v>0.60737942536206113</v>
      </c>
      <c r="AM78" s="81">
        <f t="shared" si="28"/>
        <v>0.59207181224630323</v>
      </c>
      <c r="AN78" s="81">
        <f t="shared" si="28"/>
        <v>0.58614698838545343</v>
      </c>
      <c r="AO78" s="81">
        <f t="shared" si="28"/>
        <v>0.69332698288179762</v>
      </c>
      <c r="AP78" s="81">
        <f t="shared" si="28"/>
        <v>0.68316576437226084</v>
      </c>
      <c r="AQ78" s="81">
        <f t="shared" si="28"/>
        <v>0.59236901873541747</v>
      </c>
      <c r="AR78" s="81">
        <f t="shared" si="28"/>
        <v>0.6174474893962868</v>
      </c>
      <c r="AS78" s="38"/>
    </row>
    <row r="79" spans="1:46" x14ac:dyDescent="0.2">
      <c r="C79">
        <f>+C78/C77</f>
        <v>0.53720657276995309</v>
      </c>
      <c r="F79">
        <f>+F78/F77</f>
        <v>0.69356324865078323</v>
      </c>
      <c r="G79">
        <f>+G78/G77</f>
        <v>0.84507042253521125</v>
      </c>
      <c r="H79">
        <f>+H78/H77</f>
        <v>0.52270827528559483</v>
      </c>
      <c r="I79">
        <f>+I78/I77</f>
        <v>0.52416122752776828</v>
      </c>
      <c r="O79">
        <f>+O78/O77</f>
        <v>0.54147104851330208</v>
      </c>
      <c r="P79">
        <f>+P78/P77</f>
        <v>0.5697518443997317</v>
      </c>
      <c r="R79">
        <f>+R78/R77</f>
        <v>0.91347622567134767</v>
      </c>
      <c r="S79">
        <f>+S78/S77</f>
        <v>0.13126125172085143</v>
      </c>
      <c r="T79">
        <f>+T78/T77</f>
        <v>0.28655415979359639</v>
      </c>
      <c r="U79">
        <f>+U78/U77</f>
        <v>0.49782734282771957</v>
      </c>
      <c r="X79">
        <f>+X78/X77</f>
        <v>0.40646754087744857</v>
      </c>
      <c r="Z79">
        <f>+Z78/Z77</f>
        <v>0.67194835680751175</v>
      </c>
      <c r="AC79">
        <f>+AC78/AC77</f>
        <v>0.66967804198053771</v>
      </c>
      <c r="AD79">
        <f>+AD78/AD77</f>
        <v>0.88311998892371202</v>
      </c>
      <c r="AE79">
        <f>+AE78/AE77</f>
        <v>0.64716504153123866</v>
      </c>
      <c r="AG79">
        <f>+AG78/AG77</f>
        <v>0.82169193966113763</v>
      </c>
      <c r="AI79">
        <f>+AI78/AI77</f>
        <v>0.7929259223948899</v>
      </c>
      <c r="AJ79">
        <f>+AJ78/AJ77</f>
        <v>0.86890826721135461</v>
      </c>
      <c r="AK79">
        <f>+AK78/AK77</f>
        <v>0.60176746755040045</v>
      </c>
    </row>
    <row r="83" spans="4:38" x14ac:dyDescent="0.2">
      <c r="F83" s="86">
        <f>+F7+F13+F19+F25+F31+F37+F43+F49+F55+Sheet2014!F61+Sheet2014!F67+Sheet2014!F73</f>
        <v>22719.200000000001</v>
      </c>
      <c r="I83" s="86">
        <f>+I7+I13+I19+I25+I31+I37+I43+I49+I55+Sheet2014!I61+Sheet2014!I67+Sheet2014!I73</f>
        <v>13682</v>
      </c>
      <c r="K83" s="86">
        <f>+K7+K13+K19+K25+K31+K37+K43+K49+K55+Sheet2014!K61+Sheet2014!K67+Sheet2014!K73</f>
        <v>17361</v>
      </c>
      <c r="O83" s="86">
        <f>+O7+O13+O19+O25+O31+O37+O43+O49+O55+Sheet2014!O61+Sheet2014!O67+Sheet2014!O73</f>
        <v>11312</v>
      </c>
      <c r="R83" s="86">
        <f>+R7+R13+R19+R25+R31+R37+R43+R49+R55+Sheet2014!R61+Sheet2014!R67+Sheet2014!R73</f>
        <v>26327</v>
      </c>
      <c r="Z83" s="86">
        <f>+Z7+Z13+Z19+Z25+Z31+Z37+Z43+Z49+Z55+Sheet2014!Z61+Sheet2014!Z67+Sheet2014!Z73</f>
        <v>7843</v>
      </c>
      <c r="AC83" s="86">
        <f>+AC7+AC13+AC19+AC25+AC31+AC37+AC43+AC49+AC55+Sheet2014!AC61+Sheet2014!AC67+Sheet2014!AC73</f>
        <v>36232</v>
      </c>
      <c r="AD83" s="86">
        <f>+AD7+AD13+AD19+AD25+AD31+AD37+AD43+AD49+AD55+Sheet2014!AD61+Sheet2014!AD67+Sheet2014!AD73</f>
        <v>100546</v>
      </c>
      <c r="AG83" s="86">
        <f>+AG7+AG13+AG19+AG25+AG31+AG37+AG43+AG49+AG55+Sheet2014!AG61+Sheet2014!AG67+Sheet2014!AG73</f>
        <v>44978</v>
      </c>
      <c r="AH83" s="86">
        <f>+AH7+AH13+AH19+AH25+AH31+AH37+AH43+AH49+AH55+Sheet2014!AH61+Sheet2014!AH67+Sheet2014!AH73</f>
        <v>12276</v>
      </c>
      <c r="AJ83" s="86">
        <f>+AJ7+AJ13+AJ19+AJ25+AJ31+AJ37+AJ43+AJ49+AJ55+Sheet2014!AJ61+Sheet2014!AJ67+Sheet2014!AJ73</f>
        <v>34755</v>
      </c>
      <c r="AL83">
        <f>+R77+AC77+AD77+AG77+AJ77</f>
        <v>225815</v>
      </c>
    </row>
    <row r="84" spans="4:38" x14ac:dyDescent="0.2">
      <c r="AL84">
        <f>+AL83/AL76</f>
        <v>0.3461424086722994</v>
      </c>
    </row>
    <row r="85" spans="4:38" x14ac:dyDescent="0.2">
      <c r="D85" t="s">
        <v>15</v>
      </c>
    </row>
  </sheetData>
  <pageMargins left="0.74803149606299213" right="0.4" top="0.53" bottom="0.47" header="0.51181102362204722" footer="0.51181102362204722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N163"/>
  <sheetViews>
    <sheetView tabSelected="1" topLeftCell="A61" zoomScale="110" zoomScaleNormal="110" workbookViewId="0">
      <selection activeCell="B92" sqref="B92:D92"/>
    </sheetView>
  </sheetViews>
  <sheetFormatPr defaultRowHeight="12.75" x14ac:dyDescent="0.2"/>
  <cols>
    <col min="1" max="1" width="13.85546875" customWidth="1"/>
    <col min="2" max="2" width="6.28515625" customWidth="1"/>
    <col min="3" max="3" width="5.7109375" customWidth="1"/>
    <col min="4" max="4" width="6.42578125" customWidth="1"/>
    <col min="5" max="5" width="2.28515625" customWidth="1"/>
    <col min="6" max="6" width="5.28515625" customWidth="1"/>
    <col min="7" max="7" width="6.140625" customWidth="1"/>
    <col min="8" max="8" width="6.42578125" customWidth="1"/>
    <col min="9" max="9" width="2.140625" customWidth="1"/>
    <col min="10" max="10" width="6" customWidth="1"/>
    <col min="11" max="11" width="6.28515625" customWidth="1"/>
    <col min="12" max="12" width="6.7109375" customWidth="1"/>
    <col min="13" max="13" width="2.42578125" customWidth="1"/>
    <col min="14" max="14" width="6.42578125" customWidth="1"/>
    <col min="15" max="15" width="6.140625" customWidth="1"/>
    <col min="16" max="16" width="8.5703125" customWidth="1"/>
    <col min="17" max="17" width="2.5703125" customWidth="1"/>
    <col min="18" max="18" width="6.28515625" customWidth="1"/>
    <col min="19" max="19" width="5.7109375" customWidth="1"/>
    <col min="20" max="20" width="6.85546875" customWidth="1"/>
    <col min="21" max="21" width="2.28515625" customWidth="1"/>
    <col min="22" max="22" width="6.5703125" customWidth="1"/>
    <col min="23" max="24" width="6" customWidth="1"/>
    <col min="25" max="25" width="2.28515625" customWidth="1"/>
    <col min="26" max="27" width="6.5703125" customWidth="1"/>
    <col min="28" max="28" width="6.7109375" customWidth="1"/>
    <col min="29" max="29" width="2" customWidth="1"/>
    <col min="30" max="30" width="7.28515625" customWidth="1"/>
    <col min="31" max="31" width="6.28515625" customWidth="1"/>
    <col min="32" max="32" width="6.5703125" customWidth="1"/>
    <col min="33" max="33" width="1.7109375" customWidth="1"/>
    <col min="34" max="34" width="7.140625" customWidth="1"/>
    <col min="35" max="35" width="5.140625" customWidth="1"/>
    <col min="36" max="36" width="7.140625" customWidth="1"/>
    <col min="37" max="37" width="2.42578125" customWidth="1"/>
    <col min="38" max="38" width="6" customWidth="1"/>
    <col min="39" max="39" width="4.85546875" customWidth="1"/>
    <col min="40" max="40" width="7.140625" customWidth="1"/>
  </cols>
  <sheetData>
    <row r="5" spans="1:40" x14ac:dyDescent="0.2">
      <c r="A5" s="32"/>
      <c r="B5" s="102" t="s">
        <v>226</v>
      </c>
      <c r="C5" s="102"/>
      <c r="D5" s="102"/>
      <c r="E5" s="32"/>
      <c r="F5" s="102" t="s">
        <v>211</v>
      </c>
      <c r="G5" s="102"/>
      <c r="H5" s="102"/>
      <c r="I5" s="32"/>
      <c r="J5" s="102" t="s">
        <v>208</v>
      </c>
      <c r="K5" s="102"/>
      <c r="L5" s="102"/>
      <c r="M5" s="32"/>
      <c r="N5" s="102" t="s">
        <v>173</v>
      </c>
      <c r="O5" s="102"/>
      <c r="P5" s="102"/>
      <c r="Q5" s="32"/>
      <c r="R5" s="102" t="s">
        <v>162</v>
      </c>
      <c r="S5" s="102"/>
      <c r="T5" s="102"/>
      <c r="U5" s="32"/>
      <c r="V5" s="102" t="s">
        <v>147</v>
      </c>
      <c r="W5" s="102"/>
      <c r="X5" s="102"/>
      <c r="Y5" s="32"/>
      <c r="Z5" s="102" t="s">
        <v>124</v>
      </c>
      <c r="AA5" s="102"/>
      <c r="AB5" s="102"/>
      <c r="AC5" s="32"/>
      <c r="AD5" s="102" t="s">
        <v>116</v>
      </c>
      <c r="AE5" s="102"/>
      <c r="AF5" s="102"/>
      <c r="AG5" s="32"/>
      <c r="AH5" s="102" t="s">
        <v>117</v>
      </c>
      <c r="AI5" s="102"/>
      <c r="AJ5" s="102"/>
      <c r="AL5" s="102" t="s">
        <v>118</v>
      </c>
      <c r="AM5" s="102"/>
      <c r="AN5" s="102"/>
    </row>
    <row r="6" spans="1:40" ht="45" x14ac:dyDescent="0.2">
      <c r="A6" s="32"/>
      <c r="B6" s="25" t="s">
        <v>4</v>
      </c>
      <c r="C6" s="26" t="s">
        <v>77</v>
      </c>
      <c r="D6" s="26" t="s">
        <v>70</v>
      </c>
      <c r="E6" s="32"/>
      <c r="F6" s="25" t="s">
        <v>4</v>
      </c>
      <c r="G6" s="26" t="s">
        <v>77</v>
      </c>
      <c r="H6" s="26" t="s">
        <v>70</v>
      </c>
      <c r="I6" s="32"/>
      <c r="J6" s="25" t="s">
        <v>4</v>
      </c>
      <c r="K6" s="26" t="s">
        <v>77</v>
      </c>
      <c r="L6" s="26" t="s">
        <v>70</v>
      </c>
      <c r="M6" s="32"/>
      <c r="N6" s="25" t="s">
        <v>4</v>
      </c>
      <c r="O6" s="26" t="s">
        <v>77</v>
      </c>
      <c r="P6" s="26" t="s">
        <v>70</v>
      </c>
      <c r="Q6" s="32"/>
      <c r="R6" s="25" t="s">
        <v>4</v>
      </c>
      <c r="S6" s="26" t="s">
        <v>77</v>
      </c>
      <c r="T6" s="26" t="s">
        <v>70</v>
      </c>
      <c r="U6" s="32"/>
      <c r="V6" s="25" t="s">
        <v>4</v>
      </c>
      <c r="W6" s="26" t="s">
        <v>77</v>
      </c>
      <c r="X6" s="26" t="s">
        <v>70</v>
      </c>
      <c r="Y6" s="32"/>
      <c r="Z6" s="25" t="s">
        <v>4</v>
      </c>
      <c r="AA6" s="26" t="s">
        <v>77</v>
      </c>
      <c r="AB6" s="26" t="s">
        <v>70</v>
      </c>
      <c r="AC6" s="32"/>
      <c r="AD6" s="25" t="s">
        <v>4</v>
      </c>
      <c r="AE6" s="26" t="s">
        <v>77</v>
      </c>
      <c r="AF6" s="26" t="s">
        <v>70</v>
      </c>
      <c r="AG6" s="32"/>
      <c r="AH6" s="25" t="s">
        <v>4</v>
      </c>
      <c r="AI6" s="26" t="s">
        <v>77</v>
      </c>
      <c r="AJ6" s="26" t="s">
        <v>70</v>
      </c>
      <c r="AL6" s="25" t="s">
        <v>4</v>
      </c>
      <c r="AM6" s="26" t="s">
        <v>77</v>
      </c>
      <c r="AN6" s="26" t="s">
        <v>70</v>
      </c>
    </row>
    <row r="7" spans="1:40" x14ac:dyDescent="0.2">
      <c r="A7" s="27" t="s">
        <v>47</v>
      </c>
      <c r="B7" s="33"/>
      <c r="C7" s="34"/>
      <c r="D7" s="34"/>
      <c r="E7" s="32"/>
      <c r="F7" s="33">
        <v>0.57399999999999995</v>
      </c>
      <c r="G7" s="34"/>
      <c r="H7" s="34"/>
      <c r="I7" s="32"/>
      <c r="J7" s="33">
        <v>0.58699999999999997</v>
      </c>
      <c r="K7" s="34"/>
      <c r="L7" s="34"/>
      <c r="M7" s="32"/>
      <c r="N7" s="33">
        <v>0.58099999999999996</v>
      </c>
      <c r="O7" s="34"/>
      <c r="P7" s="34"/>
      <c r="Q7" s="32"/>
      <c r="R7" s="33">
        <v>0.58299999999999996</v>
      </c>
      <c r="S7" s="34"/>
      <c r="T7" s="34"/>
      <c r="U7" s="32"/>
      <c r="V7" s="33">
        <v>0.57499999999999996</v>
      </c>
      <c r="W7" s="34"/>
      <c r="X7" s="34"/>
      <c r="Y7" s="32"/>
      <c r="Z7" s="33">
        <v>0.55700000000000005</v>
      </c>
      <c r="AA7" s="34"/>
      <c r="AB7" s="34"/>
      <c r="AC7" s="32"/>
      <c r="AD7" s="33">
        <v>0.57999999999999996</v>
      </c>
      <c r="AE7" s="34"/>
      <c r="AF7" s="34"/>
      <c r="AG7" s="32"/>
      <c r="AH7" s="33">
        <v>0.63100000000000001</v>
      </c>
      <c r="AI7" s="34"/>
      <c r="AJ7" s="34"/>
      <c r="AL7" s="33">
        <v>0.66100000000000003</v>
      </c>
      <c r="AM7" s="34"/>
      <c r="AN7" s="34"/>
    </row>
    <row r="8" spans="1:40" x14ac:dyDescent="0.2">
      <c r="A8" s="27"/>
      <c r="B8" s="33"/>
      <c r="C8" s="34"/>
      <c r="D8" s="34"/>
      <c r="E8" s="32"/>
      <c r="F8" s="33"/>
      <c r="G8" s="34"/>
      <c r="H8" s="34"/>
      <c r="I8" s="32"/>
      <c r="J8" s="33"/>
      <c r="K8" s="34"/>
      <c r="L8" s="34"/>
      <c r="M8" s="32"/>
      <c r="N8" s="33"/>
      <c r="O8" s="34"/>
      <c r="P8" s="34"/>
      <c r="Q8" s="32"/>
      <c r="R8" s="33"/>
      <c r="S8" s="34"/>
      <c r="T8" s="34"/>
      <c r="U8" s="32"/>
      <c r="V8" s="33"/>
      <c r="W8" s="34"/>
      <c r="X8" s="34"/>
      <c r="Y8" s="32"/>
      <c r="Z8" s="33"/>
      <c r="AA8" s="34"/>
      <c r="AB8" s="34"/>
      <c r="AC8" s="32"/>
      <c r="AD8" s="33"/>
      <c r="AE8" s="34"/>
      <c r="AF8" s="34"/>
      <c r="AG8" s="32"/>
      <c r="AH8" s="33"/>
      <c r="AI8" s="34"/>
      <c r="AJ8" s="34"/>
      <c r="AL8" s="33"/>
      <c r="AM8" s="35"/>
      <c r="AN8" s="34"/>
    </row>
    <row r="9" spans="1:40" x14ac:dyDescent="0.2">
      <c r="A9" s="27" t="s">
        <v>53</v>
      </c>
      <c r="B9" s="33"/>
      <c r="C9" s="34"/>
      <c r="D9" s="34"/>
      <c r="E9" s="32"/>
      <c r="F9" s="33">
        <v>0.54300000000000004</v>
      </c>
      <c r="G9" s="34"/>
      <c r="H9" s="34"/>
      <c r="I9" s="32"/>
      <c r="J9" s="33">
        <v>0.57099999999999995</v>
      </c>
      <c r="K9" s="34"/>
      <c r="L9" s="34"/>
      <c r="M9" s="32"/>
      <c r="N9" s="33">
        <v>0.59199999999999997</v>
      </c>
      <c r="O9" s="34"/>
      <c r="P9" s="34"/>
      <c r="Q9" s="32"/>
      <c r="R9" s="33">
        <v>0.55900000000000005</v>
      </c>
      <c r="S9" s="34"/>
      <c r="T9" s="34"/>
      <c r="U9" s="32"/>
      <c r="V9" s="33">
        <v>0.55200000000000005</v>
      </c>
      <c r="W9" s="34"/>
      <c r="X9" s="34"/>
      <c r="Y9" s="32"/>
      <c r="Z9" s="33">
        <v>0.55900000000000005</v>
      </c>
      <c r="AA9" s="34"/>
      <c r="AB9" s="34"/>
      <c r="AC9" s="32"/>
      <c r="AD9" s="33">
        <v>0.59499999999999997</v>
      </c>
      <c r="AE9" s="34"/>
      <c r="AF9" s="34"/>
      <c r="AG9" s="32"/>
      <c r="AH9" s="33">
        <v>0.63800000000000001</v>
      </c>
      <c r="AI9" s="34"/>
      <c r="AJ9" s="34"/>
      <c r="AL9" s="33">
        <v>0.63700000000000001</v>
      </c>
      <c r="AM9" s="34"/>
      <c r="AN9" s="34"/>
    </row>
    <row r="10" spans="1:40" x14ac:dyDescent="0.2">
      <c r="A10" s="27" t="s">
        <v>50</v>
      </c>
      <c r="B10" s="33"/>
      <c r="C10" s="34"/>
      <c r="D10" s="34"/>
      <c r="E10" s="32"/>
      <c r="F10" s="33">
        <v>0.61699999999999999</v>
      </c>
      <c r="G10" s="34"/>
      <c r="H10" s="34"/>
      <c r="I10" s="32"/>
      <c r="J10" s="33">
        <v>0.58799999999999997</v>
      </c>
      <c r="K10" s="34"/>
      <c r="L10" s="34"/>
      <c r="M10" s="32"/>
      <c r="N10" s="33">
        <v>0.53200000000000003</v>
      </c>
      <c r="O10" s="34"/>
      <c r="P10" s="34"/>
      <c r="Q10" s="32"/>
      <c r="R10" s="33">
        <v>0.63300000000000001</v>
      </c>
      <c r="S10" s="34"/>
      <c r="T10" s="34"/>
      <c r="U10" s="32"/>
      <c r="V10" s="33">
        <v>0.61499999999999999</v>
      </c>
      <c r="W10" s="34"/>
      <c r="X10" s="34"/>
      <c r="Y10" s="32"/>
      <c r="Z10" s="33">
        <v>0.53500000000000003</v>
      </c>
      <c r="AA10" s="34"/>
      <c r="AB10" s="34"/>
      <c r="AC10" s="32"/>
      <c r="AD10" s="33">
        <v>0.55000000000000004</v>
      </c>
      <c r="AE10" s="34"/>
      <c r="AF10" s="34"/>
      <c r="AG10" s="32"/>
      <c r="AH10" s="33">
        <v>0.624</v>
      </c>
      <c r="AI10" s="34"/>
      <c r="AJ10" s="34"/>
      <c r="AL10" s="33">
        <v>0.70299999999999996</v>
      </c>
      <c r="AM10" s="34"/>
      <c r="AN10" s="34"/>
    </row>
    <row r="11" spans="1:40" x14ac:dyDescent="0.2">
      <c r="A11" s="27" t="s">
        <v>51</v>
      </c>
      <c r="B11" s="33"/>
      <c r="C11" s="34"/>
      <c r="D11" s="34"/>
      <c r="E11" s="32"/>
      <c r="F11" s="33">
        <v>0.64900000000000002</v>
      </c>
      <c r="G11" s="34"/>
      <c r="H11" s="34"/>
      <c r="I11" s="32"/>
      <c r="J11" s="33">
        <v>0.66200000000000003</v>
      </c>
      <c r="K11" s="34"/>
      <c r="L11" s="34"/>
      <c r="M11" s="32"/>
      <c r="N11" s="33">
        <v>0.60899999999999999</v>
      </c>
      <c r="O11" s="34"/>
      <c r="P11" s="34"/>
      <c r="Q11" s="32"/>
      <c r="R11" s="33">
        <v>0.59799999999999998</v>
      </c>
      <c r="S11" s="34"/>
      <c r="T11" s="34"/>
      <c r="U11" s="32"/>
      <c r="V11" s="33">
        <v>0.59899999999999998</v>
      </c>
      <c r="W11" s="34"/>
      <c r="X11" s="34"/>
      <c r="Y11" s="32"/>
      <c r="Z11" s="33">
        <v>0.58199999999999996</v>
      </c>
      <c r="AA11" s="34"/>
      <c r="AB11" s="34"/>
      <c r="AC11" s="32"/>
      <c r="AD11" s="33">
        <v>0.56899999999999995</v>
      </c>
      <c r="AE11" s="34"/>
      <c r="AF11" s="34"/>
      <c r="AG11" s="32"/>
      <c r="AH11" s="33">
        <v>0.61399999999999999</v>
      </c>
      <c r="AI11" s="34"/>
      <c r="AJ11" s="34"/>
      <c r="AL11" s="33">
        <v>0.627</v>
      </c>
      <c r="AM11" s="34"/>
      <c r="AN11" s="34"/>
    </row>
    <row r="12" spans="1:40" x14ac:dyDescent="0.2">
      <c r="A12" s="27"/>
      <c r="B12" s="33"/>
      <c r="C12" s="34"/>
      <c r="D12" s="34"/>
      <c r="E12" s="32"/>
      <c r="F12" s="33"/>
      <c r="G12" s="34"/>
      <c r="H12" s="34"/>
      <c r="I12" s="32"/>
      <c r="J12" s="33"/>
      <c r="K12" s="34"/>
      <c r="L12" s="34"/>
      <c r="M12" s="32"/>
      <c r="N12" s="33"/>
      <c r="O12" s="34"/>
      <c r="P12" s="34"/>
      <c r="Q12" s="32"/>
      <c r="R12" s="33"/>
      <c r="S12" s="34"/>
      <c r="T12" s="34"/>
      <c r="U12" s="32"/>
      <c r="V12" s="33"/>
      <c r="W12" s="34"/>
      <c r="X12" s="34"/>
      <c r="Y12" s="32"/>
      <c r="Z12" s="33"/>
      <c r="AA12" s="34"/>
      <c r="AB12" s="34"/>
      <c r="AC12" s="32"/>
      <c r="AD12" s="33"/>
      <c r="AE12" s="34"/>
      <c r="AF12" s="34"/>
      <c r="AG12" s="32"/>
      <c r="AH12" s="33"/>
      <c r="AI12" s="34"/>
      <c r="AJ12" s="34"/>
      <c r="AL12" s="33"/>
      <c r="AM12" s="34"/>
      <c r="AN12" s="34"/>
    </row>
    <row r="13" spans="1:40" x14ac:dyDescent="0.2">
      <c r="A13" s="27" t="s">
        <v>43</v>
      </c>
      <c r="B13" s="33"/>
      <c r="C13" s="34"/>
      <c r="D13" s="34"/>
      <c r="E13" s="32"/>
      <c r="F13" s="33">
        <v>0.68700000000000006</v>
      </c>
      <c r="G13" s="34"/>
      <c r="H13" s="34"/>
      <c r="I13" s="32"/>
      <c r="J13" s="33">
        <v>0.69</v>
      </c>
      <c r="K13" s="34"/>
      <c r="L13" s="34"/>
      <c r="M13" s="32"/>
      <c r="N13" s="33">
        <v>0.65400000000000003</v>
      </c>
      <c r="O13" s="34"/>
      <c r="P13" s="34"/>
      <c r="Q13" s="32"/>
      <c r="R13" s="33">
        <v>0.66600000000000004</v>
      </c>
      <c r="S13" s="34"/>
      <c r="T13" s="34"/>
      <c r="U13" s="32"/>
      <c r="V13" s="33">
        <v>0.625</v>
      </c>
      <c r="W13" s="34"/>
      <c r="X13" s="34"/>
      <c r="Y13" s="32"/>
      <c r="Z13" s="33">
        <v>0.56799999999999995</v>
      </c>
      <c r="AA13" s="34"/>
      <c r="AB13" s="34"/>
      <c r="AC13" s="32"/>
      <c r="AD13" s="33">
        <v>0.53700000000000003</v>
      </c>
      <c r="AE13" s="34"/>
      <c r="AF13" s="34"/>
      <c r="AG13" s="32"/>
      <c r="AH13" s="33">
        <v>0.66400000000000003</v>
      </c>
      <c r="AI13" s="34"/>
      <c r="AJ13" s="34"/>
      <c r="AL13" s="33">
        <v>0.73899999999999999</v>
      </c>
      <c r="AM13" s="34"/>
      <c r="AN13" s="34"/>
    </row>
    <row r="14" spans="1:40" x14ac:dyDescent="0.2">
      <c r="A14" s="27" t="s">
        <v>49</v>
      </c>
      <c r="B14" s="33"/>
      <c r="C14" s="34"/>
      <c r="D14" s="34"/>
      <c r="E14" s="32"/>
      <c r="F14" s="33">
        <v>0.55500000000000005</v>
      </c>
      <c r="G14" s="34"/>
      <c r="H14" s="34"/>
      <c r="I14" s="32"/>
      <c r="J14" s="33">
        <v>0.57299999999999995</v>
      </c>
      <c r="K14" s="34"/>
      <c r="L14" s="34"/>
      <c r="M14" s="32"/>
      <c r="N14" s="33">
        <v>0.57499999999999996</v>
      </c>
      <c r="O14" s="34"/>
      <c r="P14" s="34"/>
      <c r="Q14" s="32"/>
      <c r="R14" s="33">
        <v>0.57599999999999996</v>
      </c>
      <c r="S14" s="34"/>
      <c r="T14" s="34"/>
      <c r="U14" s="32"/>
      <c r="V14" s="33">
        <v>0.57099999999999995</v>
      </c>
      <c r="W14" s="34"/>
      <c r="X14" s="34"/>
      <c r="Y14" s="32"/>
      <c r="Z14" s="33">
        <v>0.55800000000000005</v>
      </c>
      <c r="AA14" s="34"/>
      <c r="AB14" s="34"/>
      <c r="AC14" s="32"/>
      <c r="AD14" s="33">
        <v>0.59</v>
      </c>
      <c r="AE14" s="34"/>
      <c r="AF14" s="34"/>
      <c r="AG14" s="32"/>
      <c r="AH14" s="33">
        <v>0.626</v>
      </c>
      <c r="AI14" s="34"/>
      <c r="AJ14" s="34"/>
      <c r="AL14" s="33">
        <v>0.63600000000000001</v>
      </c>
      <c r="AM14" s="34"/>
      <c r="AN14" s="34"/>
    </row>
    <row r="15" spans="1:40" x14ac:dyDescent="0.2">
      <c r="A15" s="27" t="s">
        <v>45</v>
      </c>
      <c r="B15" s="33"/>
      <c r="C15" s="34"/>
      <c r="D15" s="34"/>
      <c r="E15" s="32"/>
      <c r="F15" s="33">
        <v>0.55200000000000005</v>
      </c>
      <c r="G15" s="34"/>
      <c r="H15" s="34"/>
      <c r="I15" s="32"/>
      <c r="J15" s="33">
        <v>0.50600000000000001</v>
      </c>
      <c r="K15" s="34"/>
      <c r="L15" s="34"/>
      <c r="M15" s="32"/>
      <c r="N15" s="33">
        <v>0.36099999999999999</v>
      </c>
      <c r="O15" s="34"/>
      <c r="P15" s="34"/>
      <c r="Q15" s="32"/>
      <c r="R15" s="33">
        <v>0.33700000000000002</v>
      </c>
      <c r="S15" s="34"/>
      <c r="T15" s="34"/>
      <c r="U15" s="32"/>
      <c r="V15" s="33">
        <v>0.373</v>
      </c>
      <c r="W15" s="34"/>
      <c r="X15" s="34"/>
      <c r="Y15" s="32"/>
      <c r="Z15" s="33">
        <v>0.437</v>
      </c>
      <c r="AA15" s="34"/>
      <c r="AB15" s="34"/>
      <c r="AC15" s="32"/>
      <c r="AD15" s="33">
        <v>0.47399999999999998</v>
      </c>
      <c r="AE15" s="34"/>
      <c r="AF15" s="34"/>
      <c r="AG15" s="32"/>
      <c r="AH15" s="33">
        <v>0.61099999999999999</v>
      </c>
      <c r="AI15" s="34"/>
      <c r="AJ15" s="34"/>
      <c r="AL15" s="33">
        <v>0.65500000000000003</v>
      </c>
      <c r="AM15" s="34"/>
      <c r="AN15" s="34"/>
    </row>
    <row r="16" spans="1:40" x14ac:dyDescent="0.2">
      <c r="A16" s="27"/>
      <c r="B16" s="36"/>
      <c r="C16" s="37"/>
      <c r="D16" s="37"/>
      <c r="E16" s="32"/>
      <c r="F16" s="36"/>
      <c r="G16" s="37"/>
      <c r="H16" s="37"/>
      <c r="I16" s="32"/>
      <c r="J16" s="36"/>
      <c r="K16" s="37"/>
      <c r="L16" s="37"/>
      <c r="N16" s="36"/>
      <c r="O16" s="37"/>
      <c r="P16" s="37"/>
    </row>
    <row r="17" spans="1:36" x14ac:dyDescent="0.2">
      <c r="A17" s="27"/>
      <c r="B17" s="36"/>
      <c r="C17" s="37"/>
      <c r="D17" s="37"/>
      <c r="E17" s="32"/>
      <c r="F17" s="36"/>
      <c r="G17" s="37"/>
      <c r="H17" s="37"/>
      <c r="J17" s="36"/>
      <c r="K17" s="37"/>
      <c r="L17" s="37"/>
    </row>
    <row r="18" spans="1:36" x14ac:dyDescent="0.2">
      <c r="A18" s="32"/>
      <c r="B18" s="101" t="s">
        <v>221</v>
      </c>
      <c r="C18" s="102"/>
      <c r="D18" s="102"/>
      <c r="E18" s="32"/>
      <c r="F18" s="101" t="s">
        <v>203</v>
      </c>
      <c r="G18" s="101"/>
      <c r="H18" s="101"/>
      <c r="I18" s="32"/>
      <c r="J18" s="101" t="s">
        <v>174</v>
      </c>
      <c r="K18" s="101"/>
      <c r="L18" s="101"/>
      <c r="M18" s="32"/>
      <c r="N18" s="101" t="s">
        <v>161</v>
      </c>
      <c r="O18" s="101"/>
      <c r="P18" s="101"/>
      <c r="Q18" s="32"/>
      <c r="R18" s="101" t="s">
        <v>145</v>
      </c>
      <c r="S18" s="101"/>
      <c r="T18" s="101"/>
      <c r="U18" s="32"/>
      <c r="V18" s="101" t="s">
        <v>146</v>
      </c>
      <c r="W18" s="101"/>
      <c r="X18" s="101"/>
      <c r="Y18" s="32"/>
      <c r="Z18" s="101" t="s">
        <v>115</v>
      </c>
      <c r="AA18" s="101"/>
      <c r="AB18" s="101"/>
      <c r="AC18" s="32"/>
      <c r="AD18" s="101" t="s">
        <v>88</v>
      </c>
      <c r="AE18" s="101"/>
      <c r="AF18" s="101"/>
      <c r="AH18" s="101" t="s">
        <v>89</v>
      </c>
      <c r="AI18" s="101"/>
      <c r="AJ18" s="101"/>
    </row>
    <row r="19" spans="1:36" ht="33.75" x14ac:dyDescent="0.2">
      <c r="A19" s="32"/>
      <c r="B19" s="25" t="s">
        <v>4</v>
      </c>
      <c r="C19" s="26" t="s">
        <v>77</v>
      </c>
      <c r="D19" s="26" t="s">
        <v>70</v>
      </c>
      <c r="E19" s="32"/>
      <c r="F19" s="25" t="s">
        <v>4</v>
      </c>
      <c r="G19" s="26" t="s">
        <v>77</v>
      </c>
      <c r="H19" s="26" t="s">
        <v>70</v>
      </c>
      <c r="I19" s="32"/>
      <c r="J19" s="25" t="s">
        <v>4</v>
      </c>
      <c r="K19" s="26" t="s">
        <v>77</v>
      </c>
      <c r="L19" s="26" t="s">
        <v>70</v>
      </c>
      <c r="M19" s="32"/>
      <c r="N19" s="25" t="s">
        <v>4</v>
      </c>
      <c r="O19" s="26" t="s">
        <v>77</v>
      </c>
      <c r="P19" s="26" t="s">
        <v>70</v>
      </c>
      <c r="Q19" s="32"/>
      <c r="R19" s="25" t="s">
        <v>4</v>
      </c>
      <c r="S19" s="26" t="s">
        <v>77</v>
      </c>
      <c r="T19" s="26" t="s">
        <v>70</v>
      </c>
      <c r="U19" s="32"/>
      <c r="V19" s="25" t="s">
        <v>4</v>
      </c>
      <c r="W19" s="26" t="s">
        <v>77</v>
      </c>
      <c r="X19" s="26" t="s">
        <v>70</v>
      </c>
      <c r="Y19" s="32"/>
      <c r="Z19" s="25" t="s">
        <v>4</v>
      </c>
      <c r="AA19" s="26" t="s">
        <v>77</v>
      </c>
      <c r="AB19" s="26" t="s">
        <v>70</v>
      </c>
      <c r="AC19" s="32"/>
      <c r="AD19" s="25" t="s">
        <v>4</v>
      </c>
      <c r="AE19" s="26" t="s">
        <v>77</v>
      </c>
      <c r="AF19" s="26" t="s">
        <v>70</v>
      </c>
      <c r="AH19" s="25" t="s">
        <v>4</v>
      </c>
      <c r="AI19" s="26" t="s">
        <v>77</v>
      </c>
      <c r="AJ19" s="26" t="s">
        <v>70</v>
      </c>
    </row>
    <row r="20" spans="1:36" x14ac:dyDescent="0.2">
      <c r="A20" s="27" t="s">
        <v>47</v>
      </c>
      <c r="B20" s="33">
        <v>0.61599999999999999</v>
      </c>
      <c r="C20" s="34">
        <v>33</v>
      </c>
      <c r="D20" s="34">
        <v>95356</v>
      </c>
      <c r="E20" s="32"/>
      <c r="F20" s="33">
        <v>0.60399999999999998</v>
      </c>
      <c r="G20" s="34">
        <v>33</v>
      </c>
      <c r="H20" s="34">
        <v>94972</v>
      </c>
      <c r="I20" s="32"/>
      <c r="J20" s="33">
        <v>0.61899999999999999</v>
      </c>
      <c r="K20" s="34">
        <v>31</v>
      </c>
      <c r="L20" s="34">
        <v>93205</v>
      </c>
      <c r="M20" s="32"/>
      <c r="N20" s="33">
        <v>0.56399999999999995</v>
      </c>
      <c r="O20" s="34">
        <v>30</v>
      </c>
      <c r="P20" s="34">
        <v>92255</v>
      </c>
      <c r="Q20" s="32"/>
      <c r="R20" s="33">
        <v>0.54700000000000004</v>
      </c>
      <c r="S20" s="34">
        <v>28</v>
      </c>
      <c r="T20" s="34">
        <v>91186</v>
      </c>
      <c r="U20" s="32"/>
      <c r="V20" s="33">
        <v>0.57099999999999995</v>
      </c>
      <c r="W20" s="34">
        <v>28</v>
      </c>
      <c r="X20" s="34">
        <v>84563</v>
      </c>
      <c r="Y20" s="32"/>
      <c r="Z20" s="33">
        <v>0.58599999999999997</v>
      </c>
      <c r="AA20" s="34">
        <v>25</v>
      </c>
      <c r="AB20" s="34">
        <v>78266</v>
      </c>
      <c r="AC20" s="32"/>
      <c r="AD20" s="33">
        <v>0.58099999999999996</v>
      </c>
      <c r="AE20" s="34">
        <v>23</v>
      </c>
      <c r="AF20" s="34">
        <v>82655</v>
      </c>
      <c r="AH20" s="33">
        <v>0.67800000000000005</v>
      </c>
      <c r="AI20" s="34">
        <v>26</v>
      </c>
      <c r="AJ20" s="34">
        <v>72257</v>
      </c>
    </row>
    <row r="21" spans="1:36" x14ac:dyDescent="0.2">
      <c r="A21" s="27"/>
      <c r="B21" s="33"/>
      <c r="C21" s="34"/>
      <c r="D21" s="34"/>
      <c r="E21" s="32"/>
      <c r="F21" s="33"/>
      <c r="G21" s="34"/>
      <c r="H21" s="34"/>
      <c r="I21" s="32"/>
      <c r="J21" s="33"/>
      <c r="K21" s="34"/>
      <c r="L21" s="34"/>
      <c r="M21" s="32"/>
      <c r="N21" s="33"/>
      <c r="O21" s="34"/>
      <c r="P21" s="34"/>
      <c r="Q21" s="32"/>
      <c r="R21" s="33"/>
      <c r="S21" s="34"/>
      <c r="T21" s="34"/>
      <c r="U21" s="32"/>
      <c r="V21" s="33"/>
      <c r="W21" s="34"/>
      <c r="X21" s="34"/>
      <c r="Y21" s="32"/>
      <c r="Z21" s="33"/>
      <c r="AA21" s="34"/>
      <c r="AB21" s="34"/>
      <c r="AC21" s="32"/>
      <c r="AD21" s="33"/>
      <c r="AE21" s="34"/>
      <c r="AF21" s="34"/>
      <c r="AH21" s="33"/>
      <c r="AI21" s="35"/>
      <c r="AJ21" s="34"/>
    </row>
    <row r="22" spans="1:36" x14ac:dyDescent="0.2">
      <c r="A22" s="27" t="s">
        <v>53</v>
      </c>
      <c r="B22" s="33">
        <v>0.56399999999999995</v>
      </c>
      <c r="C22" s="34">
        <v>7</v>
      </c>
      <c r="D22" s="34">
        <v>58404</v>
      </c>
      <c r="E22" s="32"/>
      <c r="F22" s="33">
        <v>0.56000000000000005</v>
      </c>
      <c r="G22" s="34">
        <v>7</v>
      </c>
      <c r="H22" s="34">
        <v>59675</v>
      </c>
      <c r="I22" s="32"/>
      <c r="J22" s="33">
        <v>0.59199999999999997</v>
      </c>
      <c r="K22" s="34">
        <v>7</v>
      </c>
      <c r="L22" s="34">
        <v>60109</v>
      </c>
      <c r="M22" s="32"/>
      <c r="N22" s="33">
        <v>0.52</v>
      </c>
      <c r="O22" s="34">
        <v>6</v>
      </c>
      <c r="P22" s="34">
        <v>54312</v>
      </c>
      <c r="Q22" s="32"/>
      <c r="R22" s="33">
        <v>0.502</v>
      </c>
      <c r="S22" s="34">
        <v>6</v>
      </c>
      <c r="T22" s="34">
        <v>54498</v>
      </c>
      <c r="U22" s="32"/>
      <c r="V22" s="33">
        <v>0.54700000000000004</v>
      </c>
      <c r="W22" s="34">
        <v>5</v>
      </c>
      <c r="X22" s="34">
        <v>46438</v>
      </c>
      <c r="Y22" s="32"/>
      <c r="Z22" s="33">
        <v>0.58699999999999997</v>
      </c>
      <c r="AA22" s="34">
        <v>5</v>
      </c>
      <c r="AB22" s="34">
        <v>46438</v>
      </c>
      <c r="AC22" s="32"/>
      <c r="AD22" s="33">
        <v>0.57899999999999996</v>
      </c>
      <c r="AE22" s="34">
        <v>6</v>
      </c>
      <c r="AF22" s="34">
        <v>47275</v>
      </c>
      <c r="AH22" s="33">
        <v>0.59199999999999997</v>
      </c>
      <c r="AI22" s="34">
        <v>5</v>
      </c>
      <c r="AJ22" s="34">
        <v>43751</v>
      </c>
    </row>
    <row r="23" spans="1:36" x14ac:dyDescent="0.2">
      <c r="A23" s="27" t="s">
        <v>50</v>
      </c>
      <c r="B23" s="33">
        <v>0.66300000000000003</v>
      </c>
      <c r="C23" s="34">
        <v>9</v>
      </c>
      <c r="D23" s="34">
        <v>13966</v>
      </c>
      <c r="E23" s="32"/>
      <c r="F23" s="33">
        <v>0.65700000000000003</v>
      </c>
      <c r="G23" s="34">
        <v>9</v>
      </c>
      <c r="H23" s="34">
        <v>21172</v>
      </c>
      <c r="I23" s="32"/>
      <c r="J23" s="33">
        <v>0.65400000000000003</v>
      </c>
      <c r="K23" s="34">
        <v>9</v>
      </c>
      <c r="L23" s="34">
        <v>20476</v>
      </c>
      <c r="M23" s="32"/>
      <c r="N23" s="33">
        <v>0.64700000000000002</v>
      </c>
      <c r="O23" s="34">
        <v>9</v>
      </c>
      <c r="P23" s="34">
        <v>23187</v>
      </c>
      <c r="Q23" s="32"/>
      <c r="R23" s="33">
        <v>0.626</v>
      </c>
      <c r="S23" s="34">
        <v>9</v>
      </c>
      <c r="T23" s="34">
        <v>22110</v>
      </c>
      <c r="U23" s="32"/>
      <c r="V23" s="33">
        <v>0.61</v>
      </c>
      <c r="W23" s="34">
        <v>9</v>
      </c>
      <c r="X23" s="34">
        <v>23184</v>
      </c>
      <c r="Y23" s="32"/>
      <c r="Z23" s="33">
        <v>0.63100000000000001</v>
      </c>
      <c r="AA23" s="34">
        <v>7</v>
      </c>
      <c r="AB23" s="34">
        <v>17337</v>
      </c>
      <c r="AC23" s="32"/>
      <c r="AD23" s="33">
        <v>0.59799999999999998</v>
      </c>
      <c r="AE23" s="34">
        <v>9</v>
      </c>
      <c r="AF23" s="34">
        <v>27683</v>
      </c>
      <c r="AH23" s="33">
        <v>0.71</v>
      </c>
      <c r="AI23" s="34">
        <v>11</v>
      </c>
      <c r="AJ23" s="34">
        <v>24258</v>
      </c>
    </row>
    <row r="24" spans="1:36" x14ac:dyDescent="0.2">
      <c r="A24" s="27" t="s">
        <v>51</v>
      </c>
      <c r="B24" s="33">
        <v>0.755</v>
      </c>
      <c r="C24" s="34">
        <v>16</v>
      </c>
      <c r="D24" s="34">
        <v>11660</v>
      </c>
      <c r="E24" s="32"/>
      <c r="F24" s="33">
        <v>0.70899999999999996</v>
      </c>
      <c r="G24" s="34">
        <v>17</v>
      </c>
      <c r="H24" s="34">
        <v>14125</v>
      </c>
      <c r="I24" s="32"/>
      <c r="J24" s="33">
        <v>0.69399999999999995</v>
      </c>
      <c r="K24" s="34">
        <v>15</v>
      </c>
      <c r="L24" s="34">
        <v>12620</v>
      </c>
      <c r="M24" s="32"/>
      <c r="N24" s="33">
        <v>0.59799999999999998</v>
      </c>
      <c r="O24" s="34">
        <v>15</v>
      </c>
      <c r="P24" s="34">
        <v>15314</v>
      </c>
      <c r="Q24" s="32"/>
      <c r="R24" s="33">
        <v>0.59799999999999998</v>
      </c>
      <c r="S24" s="34">
        <v>13</v>
      </c>
      <c r="T24" s="34">
        <v>14578</v>
      </c>
      <c r="U24" s="32"/>
      <c r="V24" s="33">
        <v>0.58599999999999997</v>
      </c>
      <c r="W24" s="34">
        <v>14</v>
      </c>
      <c r="X24" s="34">
        <v>14942</v>
      </c>
      <c r="Y24" s="32"/>
      <c r="Z24" s="33">
        <v>0.52900000000000003</v>
      </c>
      <c r="AA24" s="34">
        <v>13</v>
      </c>
      <c r="AB24" s="34">
        <v>14491</v>
      </c>
      <c r="AC24" s="32"/>
      <c r="AD24" s="33">
        <v>0.52800000000000002</v>
      </c>
      <c r="AE24" s="34">
        <v>8</v>
      </c>
      <c r="AF24" s="34">
        <v>7697</v>
      </c>
      <c r="AH24" s="33">
        <v>0.63900000000000001</v>
      </c>
      <c r="AI24" s="34">
        <v>10</v>
      </c>
      <c r="AJ24" s="34">
        <v>9114</v>
      </c>
    </row>
    <row r="25" spans="1:36" x14ac:dyDescent="0.2">
      <c r="A25" s="27"/>
      <c r="B25" s="33"/>
      <c r="C25" s="34"/>
      <c r="D25" s="34"/>
      <c r="E25" s="32"/>
      <c r="F25" s="33"/>
      <c r="G25" s="34"/>
      <c r="H25" s="34"/>
      <c r="I25" s="32"/>
      <c r="J25" s="33"/>
      <c r="K25" s="34"/>
      <c r="L25" s="34"/>
      <c r="M25" s="32"/>
      <c r="N25" s="33"/>
      <c r="O25" s="34"/>
      <c r="P25" s="34"/>
      <c r="Q25" s="32"/>
      <c r="R25" s="33"/>
      <c r="S25" s="34"/>
      <c r="T25" s="34"/>
      <c r="U25" s="32"/>
      <c r="V25" s="33"/>
      <c r="W25" s="34"/>
      <c r="X25" s="34"/>
      <c r="Y25" s="32"/>
      <c r="Z25" s="33"/>
      <c r="AA25" s="34"/>
      <c r="AB25" s="34"/>
      <c r="AC25" s="32"/>
      <c r="AD25" s="33"/>
      <c r="AE25" s="34"/>
      <c r="AF25" s="34"/>
      <c r="AH25" s="33"/>
      <c r="AI25" s="34"/>
      <c r="AJ25" s="34"/>
    </row>
    <row r="26" spans="1:36" x14ac:dyDescent="0.2">
      <c r="A26" s="27" t="s">
        <v>43</v>
      </c>
      <c r="B26" s="33">
        <v>0.76500000000000001</v>
      </c>
      <c r="C26" s="34">
        <v>7</v>
      </c>
      <c r="D26" s="34">
        <v>14167</v>
      </c>
      <c r="E26" s="32"/>
      <c r="F26" s="33">
        <v>0.79100000000000004</v>
      </c>
      <c r="G26" s="34">
        <v>7</v>
      </c>
      <c r="H26" s="34">
        <v>14235</v>
      </c>
      <c r="I26" s="32"/>
      <c r="J26" s="33">
        <v>0.78</v>
      </c>
      <c r="K26" s="34">
        <v>7</v>
      </c>
      <c r="L26" s="34">
        <v>14260</v>
      </c>
      <c r="M26" s="32"/>
      <c r="N26" s="33">
        <v>0.69199999999999995</v>
      </c>
      <c r="O26" s="34">
        <v>7</v>
      </c>
      <c r="P26" s="34">
        <v>14095</v>
      </c>
      <c r="Q26" s="32"/>
      <c r="R26" s="33">
        <v>0.67</v>
      </c>
      <c r="S26" s="34">
        <v>7</v>
      </c>
      <c r="T26" s="34">
        <v>13098</v>
      </c>
      <c r="U26" s="32"/>
      <c r="V26" s="33">
        <v>0.7</v>
      </c>
      <c r="W26" s="34">
        <v>7</v>
      </c>
      <c r="X26" s="34">
        <v>14256</v>
      </c>
      <c r="Y26" s="32"/>
      <c r="Z26" s="33">
        <v>0.58899999999999997</v>
      </c>
      <c r="AA26" s="34">
        <v>7</v>
      </c>
      <c r="AB26" s="34">
        <v>11912</v>
      </c>
      <c r="AC26" s="32"/>
      <c r="AD26" s="33">
        <v>0.68799999999999994</v>
      </c>
      <c r="AE26" s="34">
        <v>5</v>
      </c>
      <c r="AF26" s="34">
        <v>12002</v>
      </c>
      <c r="AH26" s="33">
        <v>0.76700000000000002</v>
      </c>
      <c r="AI26" s="34">
        <v>7</v>
      </c>
      <c r="AJ26" s="34">
        <v>13361</v>
      </c>
    </row>
    <row r="27" spans="1:36" x14ac:dyDescent="0.2">
      <c r="A27" s="27" t="s">
        <v>49</v>
      </c>
      <c r="B27" s="33">
        <v>0.58299999999999996</v>
      </c>
      <c r="C27" s="34">
        <v>20</v>
      </c>
      <c r="D27" s="34">
        <v>75051</v>
      </c>
      <c r="E27" s="32"/>
      <c r="F27" s="33">
        <v>0.57199999999999995</v>
      </c>
      <c r="G27" s="34">
        <v>21</v>
      </c>
      <c r="H27" s="34">
        <v>77054</v>
      </c>
      <c r="I27" s="32"/>
      <c r="J27" s="33">
        <v>0.59099999999999997</v>
      </c>
      <c r="K27" s="34">
        <v>20</v>
      </c>
      <c r="L27" s="34">
        <v>76186</v>
      </c>
      <c r="M27" s="32"/>
      <c r="N27" s="33">
        <v>0.54800000000000004</v>
      </c>
      <c r="O27" s="34">
        <v>20</v>
      </c>
      <c r="P27" s="34">
        <v>76455</v>
      </c>
      <c r="Q27" s="32"/>
      <c r="R27" s="33">
        <v>0.53100000000000003</v>
      </c>
      <c r="S27" s="34">
        <v>19</v>
      </c>
      <c r="T27" s="34">
        <v>76158</v>
      </c>
      <c r="U27" s="32"/>
      <c r="V27" s="33">
        <v>0.54900000000000004</v>
      </c>
      <c r="W27" s="34">
        <v>19</v>
      </c>
      <c r="X27" s="34">
        <v>68447</v>
      </c>
      <c r="Y27" s="32"/>
      <c r="Z27" s="33">
        <v>0.59</v>
      </c>
      <c r="AA27" s="34">
        <v>16</v>
      </c>
      <c r="AB27" s="34">
        <v>64522</v>
      </c>
      <c r="AC27" s="32"/>
      <c r="AD27" s="33">
        <v>0.56699999999999995</v>
      </c>
      <c r="AE27" s="34">
        <v>16</v>
      </c>
      <c r="AF27" s="34">
        <v>68780</v>
      </c>
      <c r="AH27" s="33">
        <v>0.6</v>
      </c>
      <c r="AI27" s="34">
        <v>17</v>
      </c>
      <c r="AJ27" s="34">
        <v>58028</v>
      </c>
    </row>
    <row r="28" spans="1:36" x14ac:dyDescent="0.2">
      <c r="A28" s="27" t="s">
        <v>45</v>
      </c>
      <c r="B28" s="33">
        <v>0.68700000000000006</v>
      </c>
      <c r="C28" s="34">
        <v>5</v>
      </c>
      <c r="D28" s="34">
        <v>5704</v>
      </c>
      <c r="E28" s="32"/>
      <c r="F28" s="33">
        <v>0.55700000000000005</v>
      </c>
      <c r="G28" s="34">
        <v>5</v>
      </c>
      <c r="H28" s="34">
        <v>3683</v>
      </c>
      <c r="I28" s="32"/>
      <c r="J28" s="33">
        <v>0.55900000000000005</v>
      </c>
      <c r="K28" s="34">
        <v>4</v>
      </c>
      <c r="L28" s="34">
        <v>2759</v>
      </c>
      <c r="M28" s="32"/>
      <c r="N28" s="33">
        <v>0.32</v>
      </c>
      <c r="O28" s="34">
        <v>3</v>
      </c>
      <c r="P28" s="34">
        <v>2263</v>
      </c>
      <c r="Q28" s="32"/>
      <c r="R28" s="33">
        <v>0.36899999999999999</v>
      </c>
      <c r="S28" s="34">
        <v>2</v>
      </c>
      <c r="T28" s="34">
        <v>1930</v>
      </c>
      <c r="U28" s="32"/>
      <c r="V28" s="33">
        <v>0.41699999999999998</v>
      </c>
      <c r="W28" s="34">
        <v>2</v>
      </c>
      <c r="X28" s="34">
        <v>1860</v>
      </c>
      <c r="Y28" s="32"/>
      <c r="Z28" s="33">
        <v>0.40300000000000002</v>
      </c>
      <c r="AA28" s="34">
        <v>2</v>
      </c>
      <c r="AB28" s="34">
        <v>1832</v>
      </c>
      <c r="AC28" s="32"/>
      <c r="AD28" s="33">
        <v>0.38500000000000001</v>
      </c>
      <c r="AE28" s="34">
        <v>2</v>
      </c>
      <c r="AF28" s="34">
        <v>1873</v>
      </c>
      <c r="AH28" s="33">
        <v>0.63300000000000001</v>
      </c>
      <c r="AI28" s="34">
        <v>2</v>
      </c>
      <c r="AJ28" s="34">
        <v>1860</v>
      </c>
    </row>
    <row r="31" spans="1:36" x14ac:dyDescent="0.2">
      <c r="A31" s="32"/>
      <c r="B31" s="101" t="s">
        <v>220</v>
      </c>
      <c r="C31" s="102"/>
      <c r="D31" s="102"/>
      <c r="E31" s="32"/>
      <c r="F31" s="101" t="s">
        <v>189</v>
      </c>
      <c r="G31" s="102"/>
      <c r="H31" s="102"/>
      <c r="I31" s="32"/>
      <c r="J31" s="101" t="s">
        <v>175</v>
      </c>
      <c r="K31" s="102"/>
      <c r="L31" s="102"/>
      <c r="M31" s="32"/>
      <c r="N31" s="101" t="s">
        <v>160</v>
      </c>
      <c r="O31" s="102"/>
      <c r="P31" s="102"/>
      <c r="Q31" s="32"/>
      <c r="R31" s="101" t="s">
        <v>143</v>
      </c>
      <c r="S31" s="102"/>
      <c r="T31" s="102"/>
      <c r="U31" s="32"/>
      <c r="V31" s="101" t="s">
        <v>142</v>
      </c>
      <c r="W31" s="102"/>
      <c r="X31" s="102"/>
      <c r="Y31" s="32"/>
      <c r="Z31" s="101" t="s">
        <v>112</v>
      </c>
      <c r="AA31" s="102"/>
      <c r="AB31" s="102"/>
      <c r="AC31" s="32"/>
      <c r="AD31" s="101" t="s">
        <v>113</v>
      </c>
      <c r="AE31" s="102"/>
      <c r="AF31" s="102"/>
      <c r="AH31" s="101" t="s">
        <v>114</v>
      </c>
      <c r="AI31" s="102"/>
      <c r="AJ31" s="102"/>
    </row>
    <row r="32" spans="1:36" ht="33.75" x14ac:dyDescent="0.2">
      <c r="A32" s="32"/>
      <c r="B32" s="25" t="s">
        <v>4</v>
      </c>
      <c r="C32" s="26" t="s">
        <v>77</v>
      </c>
      <c r="D32" s="26" t="s">
        <v>70</v>
      </c>
      <c r="E32" s="32"/>
      <c r="F32" s="25" t="s">
        <v>4</v>
      </c>
      <c r="G32" s="26" t="s">
        <v>77</v>
      </c>
      <c r="H32" s="26" t="s">
        <v>70</v>
      </c>
      <c r="I32" s="32"/>
      <c r="J32" s="25" t="s">
        <v>4</v>
      </c>
      <c r="K32" s="26" t="s">
        <v>77</v>
      </c>
      <c r="L32" s="26" t="s">
        <v>70</v>
      </c>
      <c r="M32" s="32"/>
      <c r="N32" s="25" t="s">
        <v>4</v>
      </c>
      <c r="O32" s="26" t="s">
        <v>77</v>
      </c>
      <c r="P32" s="26" t="s">
        <v>70</v>
      </c>
      <c r="Q32" s="32"/>
      <c r="R32" s="25" t="s">
        <v>4</v>
      </c>
      <c r="S32" s="26" t="s">
        <v>77</v>
      </c>
      <c r="T32" s="26" t="s">
        <v>70</v>
      </c>
      <c r="U32" s="32"/>
      <c r="V32" s="25" t="s">
        <v>4</v>
      </c>
      <c r="W32" s="26" t="s">
        <v>77</v>
      </c>
      <c r="X32" s="26" t="s">
        <v>70</v>
      </c>
      <c r="Y32" s="32"/>
      <c r="Z32" s="25" t="s">
        <v>4</v>
      </c>
      <c r="AA32" s="26" t="s">
        <v>77</v>
      </c>
      <c r="AB32" s="26" t="s">
        <v>70</v>
      </c>
      <c r="AC32" s="32"/>
      <c r="AD32" s="25" t="s">
        <v>4</v>
      </c>
      <c r="AE32" s="26" t="s">
        <v>77</v>
      </c>
      <c r="AF32" s="26" t="s">
        <v>70</v>
      </c>
      <c r="AH32" s="25" t="s">
        <v>4</v>
      </c>
      <c r="AI32" s="26" t="s">
        <v>77</v>
      </c>
      <c r="AJ32" s="26" t="s">
        <v>70</v>
      </c>
    </row>
    <row r="33" spans="1:36" x14ac:dyDescent="0.2">
      <c r="A33" s="27" t="s">
        <v>47</v>
      </c>
      <c r="B33" s="33">
        <v>0.65300000000000002</v>
      </c>
      <c r="C33" s="34">
        <v>31</v>
      </c>
      <c r="D33" s="34">
        <v>88389</v>
      </c>
      <c r="E33" s="32"/>
      <c r="F33" s="33">
        <v>0.60199999999999998</v>
      </c>
      <c r="G33" s="34">
        <v>33</v>
      </c>
      <c r="H33" s="34">
        <v>90288</v>
      </c>
      <c r="I33" s="32"/>
      <c r="J33" s="33">
        <v>0.61</v>
      </c>
      <c r="K33" s="34">
        <v>30</v>
      </c>
      <c r="L33" s="34">
        <v>90288</v>
      </c>
      <c r="M33" s="32"/>
      <c r="N33" s="33">
        <v>0.621</v>
      </c>
      <c r="O33" s="34">
        <v>29</v>
      </c>
      <c r="P33" s="34">
        <v>89123</v>
      </c>
      <c r="Q33" s="32"/>
      <c r="R33" s="33">
        <v>0.56200000000000006</v>
      </c>
      <c r="S33" s="34">
        <v>28</v>
      </c>
      <c r="T33" s="34">
        <v>88532</v>
      </c>
      <c r="U33" s="32"/>
      <c r="V33" s="33">
        <v>0.63800000000000001</v>
      </c>
      <c r="W33" s="34">
        <v>27</v>
      </c>
      <c r="X33" s="34">
        <v>81048</v>
      </c>
      <c r="Y33" s="32"/>
      <c r="Z33" s="33">
        <v>0.64700000000000002</v>
      </c>
      <c r="AA33" s="34">
        <v>26</v>
      </c>
      <c r="AB33" s="34">
        <v>76950</v>
      </c>
      <c r="AC33" s="32"/>
      <c r="AD33" s="33">
        <v>0.63800000000000001</v>
      </c>
      <c r="AE33" s="34">
        <v>23</v>
      </c>
      <c r="AF33" s="34">
        <v>77853</v>
      </c>
      <c r="AH33" s="33">
        <v>0.73199999999999998</v>
      </c>
      <c r="AI33" s="34">
        <v>25</v>
      </c>
      <c r="AJ33" s="34">
        <v>68873</v>
      </c>
    </row>
    <row r="34" spans="1:36" x14ac:dyDescent="0.2">
      <c r="A34" s="27"/>
      <c r="B34" s="33"/>
      <c r="C34" s="34"/>
      <c r="D34" s="34"/>
      <c r="E34" s="32"/>
      <c r="F34" s="33"/>
      <c r="G34" s="34"/>
      <c r="H34" s="34"/>
      <c r="I34" s="32"/>
      <c r="J34" s="33"/>
      <c r="K34" s="34"/>
      <c r="L34" s="34"/>
      <c r="M34" s="32"/>
      <c r="N34" s="33"/>
      <c r="O34" s="34"/>
      <c r="P34" s="34"/>
      <c r="Q34" s="32"/>
      <c r="R34" s="33"/>
      <c r="S34" s="34"/>
      <c r="T34" s="34"/>
      <c r="U34" s="32"/>
      <c r="V34" s="33"/>
      <c r="W34" s="34"/>
      <c r="X34" s="34"/>
      <c r="Y34" s="32"/>
      <c r="Z34" s="33"/>
      <c r="AA34" s="34"/>
      <c r="AB34" s="34"/>
      <c r="AC34" s="32"/>
      <c r="AD34" s="33"/>
      <c r="AE34" s="34"/>
      <c r="AF34" s="34"/>
      <c r="AH34" s="33"/>
      <c r="AI34" s="35"/>
      <c r="AJ34" s="34"/>
    </row>
    <row r="35" spans="1:36" x14ac:dyDescent="0.2">
      <c r="A35" s="27" t="s">
        <v>53</v>
      </c>
      <c r="B35" s="33">
        <v>0.624</v>
      </c>
      <c r="C35" s="34">
        <v>7</v>
      </c>
      <c r="D35" s="34">
        <v>56880</v>
      </c>
      <c r="E35" s="32"/>
      <c r="F35" s="33">
        <v>0.57799999999999996</v>
      </c>
      <c r="G35" s="34">
        <v>7</v>
      </c>
      <c r="H35" s="34">
        <v>58200</v>
      </c>
      <c r="I35" s="32"/>
      <c r="J35" s="33">
        <v>0.60599999999999998</v>
      </c>
      <c r="K35" s="34">
        <v>7</v>
      </c>
      <c r="L35" s="34">
        <v>58200</v>
      </c>
      <c r="M35" s="32"/>
      <c r="N35" s="33">
        <v>0.59099999999999997</v>
      </c>
      <c r="O35" s="34">
        <v>6</v>
      </c>
      <c r="P35" s="34">
        <v>52494</v>
      </c>
      <c r="Q35" s="32"/>
      <c r="R35" s="33">
        <v>0.52800000000000002</v>
      </c>
      <c r="S35" s="34">
        <v>6</v>
      </c>
      <c r="T35" s="34">
        <v>52740</v>
      </c>
      <c r="U35" s="32"/>
      <c r="V35" s="33">
        <v>0.66600000000000004</v>
      </c>
      <c r="W35" s="34">
        <v>5</v>
      </c>
      <c r="X35" s="34">
        <v>44020</v>
      </c>
      <c r="Y35" s="32"/>
      <c r="Z35" s="33">
        <v>0.65600000000000003</v>
      </c>
      <c r="AA35" s="34">
        <v>5</v>
      </c>
      <c r="AB35" s="34">
        <v>43080</v>
      </c>
      <c r="AC35" s="32"/>
      <c r="AD35" s="33">
        <v>0.65200000000000002</v>
      </c>
      <c r="AE35" s="34">
        <v>6</v>
      </c>
      <c r="AF35" s="34">
        <v>43892</v>
      </c>
      <c r="AH35" s="33">
        <v>0.69</v>
      </c>
      <c r="AI35" s="34">
        <v>5</v>
      </c>
      <c r="AJ35" s="34">
        <v>41730</v>
      </c>
    </row>
    <row r="36" spans="1:36" x14ac:dyDescent="0.2">
      <c r="A36" s="27" t="s">
        <v>50</v>
      </c>
      <c r="B36" s="33">
        <v>0.71799999999999997</v>
      </c>
      <c r="C36" s="34">
        <v>8</v>
      </c>
      <c r="D36" s="34">
        <v>16766</v>
      </c>
      <c r="E36" s="32"/>
      <c r="F36" s="33">
        <v>0.60399999999999998</v>
      </c>
      <c r="G36" s="34">
        <v>9</v>
      </c>
      <c r="H36" s="34">
        <v>20489</v>
      </c>
      <c r="I36" s="32"/>
      <c r="J36" s="33">
        <v>0.61799999999999999</v>
      </c>
      <c r="K36" s="34">
        <v>9</v>
      </c>
      <c r="L36" s="34">
        <v>20489</v>
      </c>
      <c r="M36" s="32"/>
      <c r="N36" s="33">
        <v>0.67500000000000004</v>
      </c>
      <c r="O36" s="34">
        <v>9</v>
      </c>
      <c r="P36" s="34">
        <v>22409</v>
      </c>
      <c r="Q36" s="32"/>
      <c r="R36" s="33">
        <v>0.63700000000000001</v>
      </c>
      <c r="S36" s="34">
        <v>9</v>
      </c>
      <c r="T36" s="34">
        <v>22592</v>
      </c>
      <c r="U36" s="32"/>
      <c r="V36" s="33">
        <v>0.61</v>
      </c>
      <c r="W36" s="34">
        <v>9</v>
      </c>
      <c r="X36" s="34">
        <v>22619</v>
      </c>
      <c r="Y36" s="32"/>
      <c r="Z36" s="33">
        <v>0.69899999999999995</v>
      </c>
      <c r="AA36" s="34">
        <v>7</v>
      </c>
      <c r="AB36" s="34">
        <v>19140</v>
      </c>
      <c r="AC36" s="32"/>
      <c r="AD36" s="33">
        <v>0.63500000000000001</v>
      </c>
      <c r="AE36" s="34">
        <v>9</v>
      </c>
      <c r="AF36" s="34">
        <v>26790</v>
      </c>
      <c r="AH36" s="33">
        <v>0.73899999999999999</v>
      </c>
      <c r="AI36" s="34">
        <v>11</v>
      </c>
      <c r="AJ36" s="34">
        <v>22883</v>
      </c>
    </row>
    <row r="37" spans="1:36" x14ac:dyDescent="0.2">
      <c r="A37" s="27" t="s">
        <v>51</v>
      </c>
      <c r="B37" s="33">
        <v>0.69199999999999995</v>
      </c>
      <c r="C37" s="34">
        <v>16</v>
      </c>
      <c r="D37" s="34">
        <v>14743</v>
      </c>
      <c r="E37" s="32"/>
      <c r="F37" s="33">
        <v>0.70599999999999996</v>
      </c>
      <c r="G37" s="34">
        <v>17</v>
      </c>
      <c r="H37" s="34">
        <v>11599</v>
      </c>
      <c r="I37" s="32"/>
      <c r="J37" s="33">
        <v>0.61499999999999999</v>
      </c>
      <c r="K37" s="34">
        <v>14</v>
      </c>
      <c r="L37" s="34">
        <v>11599</v>
      </c>
      <c r="M37" s="32"/>
      <c r="N37" s="33">
        <v>0.626</v>
      </c>
      <c r="O37" s="34">
        <v>14</v>
      </c>
      <c r="P37" s="34">
        <v>14760</v>
      </c>
      <c r="Q37" s="32"/>
      <c r="R37" s="33">
        <v>0.55500000000000005</v>
      </c>
      <c r="S37" s="34">
        <v>13</v>
      </c>
      <c r="T37" s="34">
        <v>13620</v>
      </c>
      <c r="U37" s="32"/>
      <c r="V37" s="33">
        <v>0.59399999999999997</v>
      </c>
      <c r="W37" s="34">
        <v>13</v>
      </c>
      <c r="X37" s="34">
        <v>14209</v>
      </c>
      <c r="Y37" s="32"/>
      <c r="Z37" s="33">
        <v>0.55300000000000005</v>
      </c>
      <c r="AA37" s="34">
        <v>14</v>
      </c>
      <c r="AB37" s="34">
        <v>14730</v>
      </c>
      <c r="AC37" s="32"/>
      <c r="AD37" s="33">
        <v>0.56200000000000006</v>
      </c>
      <c r="AE37" s="34">
        <v>8</v>
      </c>
      <c r="AF37" s="34">
        <v>7171</v>
      </c>
      <c r="AH37" s="33">
        <v>0.58399999999999996</v>
      </c>
      <c r="AI37" s="34">
        <v>9</v>
      </c>
      <c r="AJ37" s="34">
        <v>8018</v>
      </c>
    </row>
    <row r="38" spans="1:36" x14ac:dyDescent="0.2">
      <c r="A38" s="27"/>
      <c r="B38" s="33"/>
      <c r="C38" s="34"/>
      <c r="D38" s="34"/>
      <c r="E38" s="32"/>
      <c r="F38" s="33"/>
      <c r="G38" s="34"/>
      <c r="H38" s="34"/>
      <c r="I38" s="32"/>
      <c r="J38" s="33"/>
      <c r="K38" s="34"/>
      <c r="L38" s="34"/>
      <c r="M38" s="32"/>
      <c r="N38" s="33"/>
      <c r="O38" s="34"/>
      <c r="P38" s="34"/>
      <c r="Q38" s="32"/>
      <c r="R38" s="33"/>
      <c r="S38" s="34"/>
      <c r="T38" s="34"/>
      <c r="U38" s="32"/>
      <c r="V38" s="33"/>
      <c r="W38" s="34"/>
      <c r="X38" s="34"/>
      <c r="Y38" s="32"/>
      <c r="Z38" s="33"/>
      <c r="AA38" s="34"/>
      <c r="AB38" s="34"/>
      <c r="AC38" s="32"/>
      <c r="AD38" s="33"/>
      <c r="AE38" s="34"/>
      <c r="AF38" s="34"/>
      <c r="AH38" s="33"/>
      <c r="AI38" s="34"/>
      <c r="AJ38" s="34"/>
    </row>
    <row r="39" spans="1:36" x14ac:dyDescent="0.2">
      <c r="A39" s="27" t="s">
        <v>43</v>
      </c>
      <c r="B39" s="33">
        <v>0.73799999999999999</v>
      </c>
      <c r="C39" s="34">
        <v>7</v>
      </c>
      <c r="D39" s="34">
        <v>13406</v>
      </c>
      <c r="E39" s="32"/>
      <c r="F39" s="33">
        <v>0.73299999999999998</v>
      </c>
      <c r="G39" s="34">
        <v>7</v>
      </c>
      <c r="H39" s="34">
        <v>13800</v>
      </c>
      <c r="I39" s="32"/>
      <c r="J39" s="33">
        <v>0.72699999999999998</v>
      </c>
      <c r="K39" s="34">
        <v>7</v>
      </c>
      <c r="L39" s="34">
        <v>13800</v>
      </c>
      <c r="M39" s="32"/>
      <c r="N39" s="33">
        <v>0.71199999999999997</v>
      </c>
      <c r="O39" s="34">
        <v>7</v>
      </c>
      <c r="P39" s="34">
        <v>13640</v>
      </c>
      <c r="Q39" s="32"/>
      <c r="R39" s="33">
        <v>0.59699999999999998</v>
      </c>
      <c r="S39" s="34">
        <v>7</v>
      </c>
      <c r="T39" s="34">
        <v>13866</v>
      </c>
      <c r="U39" s="32"/>
      <c r="V39" s="33">
        <v>0.59399999999999997</v>
      </c>
      <c r="W39" s="34">
        <v>7</v>
      </c>
      <c r="X39" s="34">
        <v>13761</v>
      </c>
      <c r="Y39" s="32"/>
      <c r="Z39" s="33">
        <v>0.57099999999999995</v>
      </c>
      <c r="AA39" s="34">
        <v>6</v>
      </c>
      <c r="AB39" s="34">
        <v>12420</v>
      </c>
      <c r="AC39" s="32"/>
      <c r="AD39" s="33">
        <v>0.64400000000000002</v>
      </c>
      <c r="AE39" s="34">
        <v>5</v>
      </c>
      <c r="AF39" s="34">
        <v>11610</v>
      </c>
      <c r="AH39" s="33">
        <v>0.72499999999999998</v>
      </c>
      <c r="AI39" s="34">
        <v>7</v>
      </c>
      <c r="AJ39" s="34">
        <v>12716</v>
      </c>
    </row>
    <row r="40" spans="1:36" x14ac:dyDescent="0.2">
      <c r="A40" s="27" t="s">
        <v>49</v>
      </c>
      <c r="B40" s="33">
        <v>0.64600000000000002</v>
      </c>
      <c r="C40" s="34">
        <v>19</v>
      </c>
      <c r="D40" s="34">
        <v>69463</v>
      </c>
      <c r="E40" s="32"/>
      <c r="F40" s="33">
        <v>0.57799999999999996</v>
      </c>
      <c r="G40" s="34">
        <v>21</v>
      </c>
      <c r="H40" s="34">
        <v>74268</v>
      </c>
      <c r="I40" s="32"/>
      <c r="J40" s="33">
        <v>0.59599999999999997</v>
      </c>
      <c r="K40" s="34">
        <v>20</v>
      </c>
      <c r="L40" s="34">
        <v>74268</v>
      </c>
      <c r="M40" s="32"/>
      <c r="N40" s="33">
        <v>0.60499999999999998</v>
      </c>
      <c r="O40" s="34">
        <v>20</v>
      </c>
      <c r="P40" s="34">
        <v>73833</v>
      </c>
      <c r="Q40" s="32"/>
      <c r="R40" s="33">
        <v>0.55700000000000005</v>
      </c>
      <c r="S40" s="34">
        <v>19</v>
      </c>
      <c r="T40" s="34">
        <v>73286</v>
      </c>
      <c r="U40" s="32"/>
      <c r="V40" s="33">
        <v>0.65200000000000002</v>
      </c>
      <c r="W40" s="34">
        <v>18</v>
      </c>
      <c r="X40" s="34">
        <v>65487</v>
      </c>
      <c r="Y40" s="32"/>
      <c r="Z40" s="33">
        <v>0.66700000000000004</v>
      </c>
      <c r="AA40" s="34">
        <v>18</v>
      </c>
      <c r="AB40" s="34">
        <v>62730</v>
      </c>
      <c r="AC40" s="32"/>
      <c r="AD40" s="33">
        <v>0.64</v>
      </c>
      <c r="AE40" s="34">
        <v>16</v>
      </c>
      <c r="AF40" s="34">
        <v>64426</v>
      </c>
      <c r="AH40" s="33">
        <v>0.67900000000000005</v>
      </c>
      <c r="AI40" s="34">
        <v>16</v>
      </c>
      <c r="AJ40" s="34">
        <v>55295</v>
      </c>
    </row>
    <row r="41" spans="1:36" x14ac:dyDescent="0.2">
      <c r="A41" s="27" t="s">
        <v>45</v>
      </c>
      <c r="B41" s="33">
        <v>0.53800000000000003</v>
      </c>
      <c r="C41" s="34">
        <v>5</v>
      </c>
      <c r="D41" s="34">
        <v>5520</v>
      </c>
      <c r="E41" s="32"/>
      <c r="F41" s="33">
        <v>0.59299999999999997</v>
      </c>
      <c r="G41" s="34">
        <v>5</v>
      </c>
      <c r="H41" s="34">
        <v>2220</v>
      </c>
      <c r="I41" s="32"/>
      <c r="J41" s="33">
        <v>0.33400000000000002</v>
      </c>
      <c r="K41" s="34">
        <v>3</v>
      </c>
      <c r="L41" s="34">
        <v>2220</v>
      </c>
      <c r="M41" s="32"/>
      <c r="N41" s="33">
        <v>0.48299999999999998</v>
      </c>
      <c r="O41" s="34">
        <v>2</v>
      </c>
      <c r="P41" s="34">
        <v>2190</v>
      </c>
      <c r="Q41" s="32"/>
      <c r="R41" s="33">
        <v>0.36099999999999999</v>
      </c>
      <c r="S41" s="34">
        <v>2</v>
      </c>
      <c r="T41" s="34">
        <v>1800</v>
      </c>
      <c r="U41" s="32"/>
      <c r="V41" s="33">
        <v>0.436</v>
      </c>
      <c r="W41" s="34">
        <v>2</v>
      </c>
      <c r="X41" s="34">
        <v>1800</v>
      </c>
      <c r="Y41" s="32"/>
      <c r="Z41" s="33">
        <v>0.49</v>
      </c>
      <c r="AA41" s="34">
        <v>2</v>
      </c>
      <c r="AB41" s="34">
        <v>1800</v>
      </c>
      <c r="AC41" s="32"/>
      <c r="AD41" s="33">
        <v>0.51600000000000001</v>
      </c>
      <c r="AE41" s="34">
        <v>2</v>
      </c>
      <c r="AF41" s="34">
        <v>1817</v>
      </c>
      <c r="AH41" s="33">
        <v>0.64500000000000002</v>
      </c>
      <c r="AI41" s="34">
        <v>2</v>
      </c>
      <c r="AJ41" s="34">
        <v>1800</v>
      </c>
    </row>
    <row r="44" spans="1:36" x14ac:dyDescent="0.2">
      <c r="A44" s="32"/>
      <c r="B44" s="101" t="s">
        <v>219</v>
      </c>
      <c r="C44" s="102"/>
      <c r="D44" s="102"/>
      <c r="E44" s="32"/>
      <c r="F44" s="101" t="s">
        <v>188</v>
      </c>
      <c r="G44" s="102"/>
      <c r="H44" s="102"/>
      <c r="I44" s="32"/>
      <c r="J44" s="101" t="s">
        <v>172</v>
      </c>
      <c r="K44" s="102"/>
      <c r="L44" s="102"/>
      <c r="M44" s="32"/>
      <c r="N44" s="101" t="s">
        <v>158</v>
      </c>
      <c r="O44" s="102"/>
      <c r="P44" s="102"/>
      <c r="Q44" s="32"/>
      <c r="R44" s="101" t="s">
        <v>141</v>
      </c>
      <c r="S44" s="102"/>
      <c r="T44" s="102"/>
      <c r="U44" s="32"/>
      <c r="V44" s="101" t="s">
        <v>123</v>
      </c>
      <c r="W44" s="102"/>
      <c r="X44" s="102"/>
      <c r="Y44" s="32"/>
      <c r="Z44" s="101" t="s">
        <v>111</v>
      </c>
      <c r="AA44" s="102"/>
      <c r="AB44" s="102"/>
      <c r="AC44" s="32"/>
      <c r="AD44" s="101" t="s">
        <v>86</v>
      </c>
      <c r="AE44" s="102"/>
      <c r="AF44" s="102"/>
      <c r="AG44" s="32"/>
      <c r="AH44" s="101" t="s">
        <v>87</v>
      </c>
      <c r="AI44" s="102"/>
      <c r="AJ44" s="102"/>
    </row>
    <row r="45" spans="1:36" ht="33.75" x14ac:dyDescent="0.2">
      <c r="A45" s="32"/>
      <c r="B45" s="25" t="s">
        <v>4</v>
      </c>
      <c r="C45" s="26" t="s">
        <v>77</v>
      </c>
      <c r="D45" s="26" t="s">
        <v>70</v>
      </c>
      <c r="E45" s="32"/>
      <c r="F45" s="25" t="s">
        <v>4</v>
      </c>
      <c r="G45" s="26" t="s">
        <v>77</v>
      </c>
      <c r="H45" s="26" t="s">
        <v>70</v>
      </c>
      <c r="I45" s="32"/>
      <c r="J45" s="25" t="s">
        <v>4</v>
      </c>
      <c r="K45" s="26" t="s">
        <v>77</v>
      </c>
      <c r="L45" s="26" t="s">
        <v>70</v>
      </c>
      <c r="M45" s="32"/>
      <c r="N45" s="25" t="s">
        <v>4</v>
      </c>
      <c r="O45" s="26" t="s">
        <v>77</v>
      </c>
      <c r="P45" s="26" t="s">
        <v>70</v>
      </c>
      <c r="Q45" s="32"/>
      <c r="R45" s="25" t="s">
        <v>4</v>
      </c>
      <c r="S45" s="26" t="s">
        <v>77</v>
      </c>
      <c r="T45" s="26" t="s">
        <v>70</v>
      </c>
      <c r="U45" s="32"/>
      <c r="V45" s="25" t="s">
        <v>4</v>
      </c>
      <c r="W45" s="26" t="s">
        <v>77</v>
      </c>
      <c r="X45" s="26" t="s">
        <v>70</v>
      </c>
      <c r="Y45" s="32"/>
      <c r="Z45" s="25" t="s">
        <v>4</v>
      </c>
      <c r="AA45" s="26" t="s">
        <v>77</v>
      </c>
      <c r="AB45" s="26" t="s">
        <v>70</v>
      </c>
      <c r="AC45" s="32"/>
      <c r="AD45" s="25" t="s">
        <v>4</v>
      </c>
      <c r="AE45" s="26" t="s">
        <v>77</v>
      </c>
      <c r="AF45" s="26" t="s">
        <v>70</v>
      </c>
      <c r="AG45" s="32"/>
      <c r="AH45" s="25" t="s">
        <v>4</v>
      </c>
      <c r="AI45" s="26" t="s">
        <v>77</v>
      </c>
      <c r="AJ45" s="26" t="s">
        <v>70</v>
      </c>
    </row>
    <row r="46" spans="1:36" x14ac:dyDescent="0.2">
      <c r="A46" s="27" t="s">
        <v>47</v>
      </c>
      <c r="B46" s="33">
        <v>0.498</v>
      </c>
      <c r="C46" s="34">
        <v>27</v>
      </c>
      <c r="D46" s="34">
        <v>84710</v>
      </c>
      <c r="E46" s="32"/>
      <c r="F46" s="33">
        <v>0.503</v>
      </c>
      <c r="G46" s="34">
        <v>28</v>
      </c>
      <c r="H46" s="34">
        <v>81889</v>
      </c>
      <c r="I46" s="32"/>
      <c r="J46" s="33">
        <v>0.496</v>
      </c>
      <c r="K46" s="34">
        <v>27</v>
      </c>
      <c r="L46" s="34">
        <v>79334</v>
      </c>
      <c r="M46" s="32"/>
      <c r="N46" s="33">
        <v>0.53</v>
      </c>
      <c r="O46" s="34">
        <v>26</v>
      </c>
      <c r="P46" s="34">
        <v>87747</v>
      </c>
      <c r="Q46" s="32"/>
      <c r="R46" s="33">
        <v>0.45300000000000001</v>
      </c>
      <c r="S46" s="34">
        <v>25</v>
      </c>
      <c r="T46" s="34">
        <v>86941</v>
      </c>
      <c r="U46" s="32"/>
      <c r="V46" s="33">
        <v>0.502</v>
      </c>
      <c r="W46" s="34">
        <v>22</v>
      </c>
      <c r="X46" s="34">
        <v>70922</v>
      </c>
      <c r="Y46" s="32"/>
      <c r="Z46" s="33" t="s">
        <v>104</v>
      </c>
      <c r="AA46" s="34">
        <v>20</v>
      </c>
      <c r="AB46" s="34">
        <v>70251</v>
      </c>
      <c r="AC46" s="32"/>
      <c r="AD46" s="33">
        <v>0.50900000000000001</v>
      </c>
      <c r="AE46" s="34">
        <v>22</v>
      </c>
      <c r="AF46" s="34">
        <v>73472</v>
      </c>
      <c r="AG46" s="32"/>
      <c r="AH46" s="33">
        <v>0.56000000000000005</v>
      </c>
      <c r="AI46" s="34">
        <v>23</v>
      </c>
      <c r="AJ46" s="34">
        <v>70905</v>
      </c>
    </row>
    <row r="47" spans="1:36" x14ac:dyDescent="0.2">
      <c r="A47" s="27"/>
      <c r="B47" s="33"/>
      <c r="C47" s="34"/>
      <c r="D47" s="34"/>
      <c r="E47" s="32"/>
      <c r="F47" s="33"/>
      <c r="G47" s="34"/>
      <c r="H47" s="34"/>
      <c r="I47" s="32"/>
      <c r="J47" s="33"/>
      <c r="K47" s="34"/>
      <c r="L47" s="34"/>
      <c r="M47" s="32"/>
      <c r="N47" s="33"/>
      <c r="O47" s="34"/>
      <c r="P47" s="34"/>
      <c r="Q47" s="32"/>
      <c r="R47" s="33"/>
      <c r="S47" s="34"/>
      <c r="T47" s="34"/>
      <c r="U47" s="32"/>
      <c r="V47" s="33"/>
      <c r="W47" s="34"/>
      <c r="X47" s="34"/>
      <c r="Y47" s="32"/>
      <c r="Z47" s="33"/>
      <c r="AA47" s="34"/>
      <c r="AB47" s="34"/>
      <c r="AC47" s="32"/>
      <c r="AD47" s="33"/>
      <c r="AE47" s="34"/>
      <c r="AF47" s="34"/>
      <c r="AG47" s="32"/>
      <c r="AH47" s="33"/>
      <c r="AI47" s="35"/>
      <c r="AJ47" s="34"/>
    </row>
    <row r="48" spans="1:36" x14ac:dyDescent="0.2">
      <c r="A48" s="27" t="s">
        <v>53</v>
      </c>
      <c r="B48" s="33">
        <v>0.47399999999999998</v>
      </c>
      <c r="C48" s="34">
        <v>7</v>
      </c>
      <c r="D48" s="34">
        <v>59024</v>
      </c>
      <c r="E48" s="32"/>
      <c r="F48" s="33">
        <v>0.48099999999999998</v>
      </c>
      <c r="G48" s="34">
        <v>7</v>
      </c>
      <c r="H48" s="34">
        <v>56175</v>
      </c>
      <c r="I48" s="32"/>
      <c r="J48" s="33">
        <v>0.52400000000000002</v>
      </c>
      <c r="K48" s="34">
        <v>6</v>
      </c>
      <c r="L48" s="34">
        <v>51894</v>
      </c>
      <c r="M48" s="32"/>
      <c r="N48" s="33">
        <v>0.52600000000000002</v>
      </c>
      <c r="O48" s="34">
        <v>6</v>
      </c>
      <c r="P48" s="34">
        <v>54821</v>
      </c>
      <c r="Q48" s="32"/>
      <c r="R48" s="33">
        <v>0.39600000000000002</v>
      </c>
      <c r="S48" s="34">
        <v>6</v>
      </c>
      <c r="T48" s="34">
        <v>54684</v>
      </c>
      <c r="U48" s="32"/>
      <c r="V48" s="33">
        <v>0.52400000000000002</v>
      </c>
      <c r="W48" s="34">
        <v>5</v>
      </c>
      <c r="X48" s="34">
        <v>45074</v>
      </c>
      <c r="Y48" s="32"/>
      <c r="Z48" s="33" t="s">
        <v>105</v>
      </c>
      <c r="AA48" s="34">
        <v>5</v>
      </c>
      <c r="AB48" s="34">
        <v>44516</v>
      </c>
      <c r="AC48" s="32"/>
      <c r="AD48" s="33">
        <v>0.50600000000000001</v>
      </c>
      <c r="AE48" s="34">
        <v>6</v>
      </c>
      <c r="AF48" s="34">
        <v>45291</v>
      </c>
      <c r="AG48" s="32"/>
      <c r="AH48" s="33">
        <v>0.55000000000000004</v>
      </c>
      <c r="AI48" s="34">
        <v>6</v>
      </c>
      <c r="AJ48" s="34">
        <v>46965</v>
      </c>
    </row>
    <row r="49" spans="1:36" x14ac:dyDescent="0.2">
      <c r="A49" s="27" t="s">
        <v>50</v>
      </c>
      <c r="B49" s="33">
        <v>0.56100000000000005</v>
      </c>
      <c r="C49" s="34">
        <v>8</v>
      </c>
      <c r="D49" s="34">
        <v>13494</v>
      </c>
      <c r="E49" s="32"/>
      <c r="F49" s="33">
        <v>0.48599999999999999</v>
      </c>
      <c r="G49" s="34">
        <v>9</v>
      </c>
      <c r="H49" s="34">
        <v>15423</v>
      </c>
      <c r="I49" s="32"/>
      <c r="J49" s="33">
        <v>0.40699999999999997</v>
      </c>
      <c r="K49" s="34">
        <v>9</v>
      </c>
      <c r="L49" s="34">
        <v>17342</v>
      </c>
      <c r="M49" s="32"/>
      <c r="N49" s="33">
        <v>0.54100000000000004</v>
      </c>
      <c r="O49" s="34">
        <v>9</v>
      </c>
      <c r="P49" s="34">
        <v>19931</v>
      </c>
      <c r="Q49" s="32"/>
      <c r="R49" s="33">
        <v>0.57199999999999995</v>
      </c>
      <c r="S49" s="34">
        <v>9</v>
      </c>
      <c r="T49" s="34">
        <v>19973</v>
      </c>
      <c r="U49" s="32"/>
      <c r="V49" s="33">
        <v>0.40500000000000003</v>
      </c>
      <c r="W49" s="34">
        <v>8</v>
      </c>
      <c r="X49" s="34">
        <v>15006</v>
      </c>
      <c r="Y49" s="32"/>
      <c r="Z49" s="33" t="s">
        <v>106</v>
      </c>
      <c r="AA49" s="34">
        <v>6</v>
      </c>
      <c r="AB49" s="34">
        <v>16262</v>
      </c>
      <c r="AC49" s="32"/>
      <c r="AD49" s="33">
        <v>0.49</v>
      </c>
      <c r="AE49" s="34">
        <v>9</v>
      </c>
      <c r="AF49" s="34">
        <v>21695</v>
      </c>
      <c r="AG49" s="32"/>
      <c r="AH49" s="33">
        <v>0.59299999999999997</v>
      </c>
      <c r="AI49" s="34">
        <v>10</v>
      </c>
      <c r="AJ49" s="34">
        <v>18243</v>
      </c>
    </row>
    <row r="50" spans="1:36" x14ac:dyDescent="0.2">
      <c r="A50" s="27" t="s">
        <v>51</v>
      </c>
      <c r="B50" s="33">
        <v>0.54200000000000004</v>
      </c>
      <c r="C50" s="34">
        <v>12</v>
      </c>
      <c r="D50" s="34">
        <v>12192</v>
      </c>
      <c r="E50" s="32"/>
      <c r="F50" s="33">
        <v>0.64700000000000002</v>
      </c>
      <c r="G50" s="34">
        <v>12</v>
      </c>
      <c r="H50" s="34">
        <v>10291</v>
      </c>
      <c r="I50" s="32"/>
      <c r="J50" s="33">
        <v>0.50900000000000001</v>
      </c>
      <c r="K50" s="34">
        <v>12</v>
      </c>
      <c r="L50" s="34">
        <v>10098</v>
      </c>
      <c r="M50" s="32"/>
      <c r="N50" s="33">
        <v>0.53100000000000003</v>
      </c>
      <c r="O50" s="34">
        <v>11</v>
      </c>
      <c r="P50" s="34">
        <v>13535</v>
      </c>
      <c r="Q50" s="32"/>
      <c r="R50" s="33">
        <v>0.51400000000000001</v>
      </c>
      <c r="S50" s="34">
        <v>10</v>
      </c>
      <c r="T50" s="34">
        <v>12284</v>
      </c>
      <c r="U50" s="32"/>
      <c r="V50" s="33">
        <v>0.54900000000000004</v>
      </c>
      <c r="W50" s="34">
        <v>9</v>
      </c>
      <c r="X50" s="34">
        <v>10842</v>
      </c>
      <c r="Y50" s="32"/>
      <c r="Z50" s="33" t="s">
        <v>107</v>
      </c>
      <c r="AA50" s="34">
        <v>9</v>
      </c>
      <c r="AB50" s="34">
        <v>9473</v>
      </c>
      <c r="AC50" s="32"/>
      <c r="AD50" s="33">
        <v>0.59099999999999997</v>
      </c>
      <c r="AE50" s="34">
        <v>7</v>
      </c>
      <c r="AF50" s="34">
        <v>6486</v>
      </c>
      <c r="AG50" s="32"/>
      <c r="AH50" s="33">
        <v>0.57099999999999995</v>
      </c>
      <c r="AI50" s="34">
        <v>7</v>
      </c>
      <c r="AJ50" s="34">
        <v>6665</v>
      </c>
    </row>
    <row r="51" spans="1:36" x14ac:dyDescent="0.2">
      <c r="A51" s="27"/>
      <c r="B51" s="33"/>
      <c r="C51" s="34"/>
      <c r="D51" s="34"/>
      <c r="E51" s="32"/>
      <c r="F51" s="33"/>
      <c r="G51" s="34"/>
      <c r="H51" s="34"/>
      <c r="I51" s="32"/>
      <c r="J51" s="33"/>
      <c r="K51" s="34"/>
      <c r="L51" s="34"/>
      <c r="M51" s="32"/>
      <c r="N51" s="33"/>
      <c r="O51" s="34"/>
      <c r="P51" s="34"/>
      <c r="Q51" s="32"/>
      <c r="R51" s="33"/>
      <c r="S51" s="34"/>
      <c r="T51" s="34"/>
      <c r="U51" s="32"/>
      <c r="V51" s="33"/>
      <c r="W51" s="34"/>
      <c r="X51" s="34"/>
      <c r="Y51" s="32"/>
      <c r="Z51" s="33"/>
      <c r="AA51" s="34"/>
      <c r="AB51" s="34"/>
      <c r="AC51" s="32"/>
      <c r="AD51" s="33"/>
      <c r="AE51" s="34"/>
      <c r="AF51" s="34"/>
      <c r="AG51" s="32"/>
      <c r="AH51" s="33"/>
      <c r="AI51" s="34"/>
      <c r="AJ51" s="34"/>
    </row>
    <row r="52" spans="1:36" x14ac:dyDescent="0.2">
      <c r="A52" s="27" t="s">
        <v>43</v>
      </c>
      <c r="B52" s="33">
        <v>0.63500000000000001</v>
      </c>
      <c r="C52" s="34">
        <v>6</v>
      </c>
      <c r="D52" s="34">
        <v>9909</v>
      </c>
      <c r="E52" s="32"/>
      <c r="F52" s="33">
        <v>0.60199999999999998</v>
      </c>
      <c r="G52" s="34">
        <v>6</v>
      </c>
      <c r="H52" s="34">
        <v>10302</v>
      </c>
      <c r="I52" s="32"/>
      <c r="J52" s="33">
        <v>0.58799999999999997</v>
      </c>
      <c r="K52" s="34">
        <v>6</v>
      </c>
      <c r="L52" s="34">
        <v>9847</v>
      </c>
      <c r="M52" s="32"/>
      <c r="N52" s="33">
        <v>0.63100000000000001</v>
      </c>
      <c r="O52" s="34">
        <v>6</v>
      </c>
      <c r="P52" s="34">
        <v>9960</v>
      </c>
      <c r="Q52" s="32"/>
      <c r="R52" s="33">
        <v>0.58799999999999997</v>
      </c>
      <c r="S52" s="34">
        <v>6</v>
      </c>
      <c r="T52" s="34">
        <v>9960</v>
      </c>
      <c r="U52" s="32"/>
      <c r="V52" s="33">
        <v>0.5</v>
      </c>
      <c r="W52" s="34">
        <v>5</v>
      </c>
      <c r="X52" s="34">
        <v>8927</v>
      </c>
      <c r="Y52" s="32"/>
      <c r="Z52" s="33" t="s">
        <v>108</v>
      </c>
      <c r="AA52" s="34">
        <v>4</v>
      </c>
      <c r="AB52" s="34">
        <v>6171</v>
      </c>
      <c r="AC52" s="32"/>
      <c r="AD52" s="33">
        <v>0.42699999999999999</v>
      </c>
      <c r="AE52" s="34">
        <v>5</v>
      </c>
      <c r="AF52" s="34">
        <v>9145</v>
      </c>
      <c r="AG52" s="32"/>
      <c r="AH52" s="33">
        <v>0.71199999999999997</v>
      </c>
      <c r="AI52" s="34">
        <v>5</v>
      </c>
      <c r="AJ52" s="34">
        <v>8502</v>
      </c>
    </row>
    <row r="53" spans="1:36" x14ac:dyDescent="0.2">
      <c r="A53" s="27" t="s">
        <v>49</v>
      </c>
      <c r="B53" s="33">
        <v>0.48699999999999999</v>
      </c>
      <c r="C53" s="34">
        <v>16</v>
      </c>
      <c r="D53" s="34">
        <v>69190</v>
      </c>
      <c r="E53" s="32"/>
      <c r="F53" s="33">
        <v>0.48799999999999999</v>
      </c>
      <c r="G53" s="34">
        <v>17</v>
      </c>
      <c r="H53" s="34">
        <v>67991</v>
      </c>
      <c r="I53" s="32"/>
      <c r="J53" s="33">
        <v>0.49</v>
      </c>
      <c r="K53" s="34">
        <v>18</v>
      </c>
      <c r="L53" s="34">
        <v>67193</v>
      </c>
      <c r="M53" s="32"/>
      <c r="N53" s="33">
        <v>0.52800000000000002</v>
      </c>
      <c r="O53" s="34">
        <v>17</v>
      </c>
      <c r="P53" s="34">
        <v>74377</v>
      </c>
      <c r="Q53" s="32"/>
      <c r="R53" s="33">
        <v>0.439</v>
      </c>
      <c r="S53" s="34">
        <v>17</v>
      </c>
      <c r="T53" s="34">
        <v>75051</v>
      </c>
      <c r="U53" s="32"/>
      <c r="V53" s="33">
        <v>0.50700000000000001</v>
      </c>
      <c r="W53" s="34">
        <v>15</v>
      </c>
      <c r="X53" s="34">
        <v>60135</v>
      </c>
      <c r="Y53" s="32"/>
      <c r="Z53" s="33" t="s">
        <v>109</v>
      </c>
      <c r="AA53" s="34">
        <v>14</v>
      </c>
      <c r="AB53" s="34">
        <v>62248</v>
      </c>
      <c r="AC53" s="32"/>
      <c r="AD53" s="33">
        <v>0.51800000000000002</v>
      </c>
      <c r="AE53" s="34">
        <v>15</v>
      </c>
      <c r="AF53" s="34">
        <v>62513</v>
      </c>
      <c r="AG53" s="32"/>
      <c r="AH53" s="33">
        <v>0.53600000000000003</v>
      </c>
      <c r="AI53" s="34">
        <v>16</v>
      </c>
      <c r="AJ53" s="34">
        <v>60543</v>
      </c>
    </row>
    <row r="54" spans="1:36" x14ac:dyDescent="0.2">
      <c r="A54" s="27" t="s">
        <v>45</v>
      </c>
      <c r="B54" s="33">
        <v>0.39300000000000002</v>
      </c>
      <c r="C54" s="34">
        <v>5</v>
      </c>
      <c r="D54" s="34">
        <v>5611</v>
      </c>
      <c r="E54" s="32"/>
      <c r="F54" s="33">
        <v>0.50600000000000001</v>
      </c>
      <c r="G54" s="34">
        <v>5</v>
      </c>
      <c r="H54" s="34">
        <v>3596</v>
      </c>
      <c r="I54" s="32"/>
      <c r="J54" s="33">
        <v>0.28599999999999998</v>
      </c>
      <c r="K54" s="34">
        <v>3</v>
      </c>
      <c r="L54" s="34">
        <v>2294</v>
      </c>
      <c r="M54" s="32"/>
      <c r="N54" s="33">
        <v>0.28699999999999998</v>
      </c>
      <c r="O54" s="34">
        <v>3</v>
      </c>
      <c r="P54" s="34">
        <v>3410</v>
      </c>
      <c r="Q54" s="32"/>
      <c r="R54" s="33">
        <v>0.32</v>
      </c>
      <c r="S54" s="34">
        <v>2</v>
      </c>
      <c r="T54" s="34">
        <v>1930</v>
      </c>
      <c r="U54" s="32"/>
      <c r="V54" s="33">
        <v>0.38500000000000001</v>
      </c>
      <c r="W54" s="34">
        <v>2</v>
      </c>
      <c r="X54" s="34">
        <v>1860</v>
      </c>
      <c r="Y54" s="32"/>
      <c r="Z54" s="33" t="s">
        <v>110</v>
      </c>
      <c r="AA54" s="34">
        <v>2</v>
      </c>
      <c r="AB54" s="34">
        <v>1832</v>
      </c>
      <c r="AC54" s="32"/>
      <c r="AD54" s="33">
        <v>0.61799999999999999</v>
      </c>
      <c r="AE54" s="34">
        <v>2</v>
      </c>
      <c r="AF54" s="34">
        <v>1814</v>
      </c>
      <c r="AG54" s="32"/>
      <c r="AH54" s="33">
        <v>0.65400000000000003</v>
      </c>
      <c r="AI54" s="34">
        <v>2</v>
      </c>
      <c r="AJ54" s="34">
        <v>1860</v>
      </c>
    </row>
    <row r="55" spans="1:36" x14ac:dyDescent="0.2">
      <c r="V55" s="41"/>
    </row>
    <row r="56" spans="1:36" x14ac:dyDescent="0.2">
      <c r="A56" s="32"/>
      <c r="B56" s="101" t="s">
        <v>218</v>
      </c>
      <c r="C56" s="101"/>
      <c r="D56" s="101"/>
      <c r="E56" s="32"/>
      <c r="F56" s="101" t="s">
        <v>187</v>
      </c>
      <c r="G56" s="101"/>
      <c r="H56" s="101"/>
      <c r="I56" s="32"/>
      <c r="J56" s="101" t="s">
        <v>171</v>
      </c>
      <c r="K56" s="101"/>
      <c r="L56" s="101"/>
      <c r="M56" s="32"/>
      <c r="N56" s="101" t="s">
        <v>156</v>
      </c>
      <c r="O56" s="101"/>
      <c r="P56" s="101"/>
      <c r="Q56" s="32"/>
      <c r="R56" s="101" t="s">
        <v>140</v>
      </c>
      <c r="S56" s="101"/>
      <c r="T56" s="101"/>
      <c r="U56" s="32"/>
      <c r="V56" s="101" t="s">
        <v>139</v>
      </c>
      <c r="W56" s="101"/>
      <c r="X56" s="101"/>
      <c r="Y56" s="32"/>
      <c r="Z56" s="101" t="s">
        <v>103</v>
      </c>
      <c r="AA56" s="101"/>
      <c r="AB56" s="101"/>
      <c r="AC56" s="32"/>
      <c r="AD56" s="101" t="s">
        <v>84</v>
      </c>
      <c r="AE56" s="101"/>
      <c r="AF56" s="101"/>
      <c r="AH56" s="101" t="s">
        <v>85</v>
      </c>
      <c r="AI56" s="101"/>
      <c r="AJ56" s="101"/>
    </row>
    <row r="57" spans="1:36" ht="33.75" x14ac:dyDescent="0.2">
      <c r="A57" s="32"/>
      <c r="B57" s="25" t="s">
        <v>4</v>
      </c>
      <c r="C57" s="26" t="s">
        <v>77</v>
      </c>
      <c r="D57" s="26" t="s">
        <v>70</v>
      </c>
      <c r="E57" s="32"/>
      <c r="F57" s="25" t="s">
        <v>4</v>
      </c>
      <c r="G57" s="26" t="s">
        <v>77</v>
      </c>
      <c r="H57" s="26" t="s">
        <v>70</v>
      </c>
      <c r="I57" s="32"/>
      <c r="J57" s="25" t="s">
        <v>4</v>
      </c>
      <c r="K57" s="26" t="s">
        <v>77</v>
      </c>
      <c r="L57" s="26" t="s">
        <v>70</v>
      </c>
      <c r="M57" s="32"/>
      <c r="N57" s="25" t="s">
        <v>4</v>
      </c>
      <c r="O57" s="26" t="s">
        <v>77</v>
      </c>
      <c r="P57" s="26" t="s">
        <v>70</v>
      </c>
      <c r="Q57" s="32"/>
      <c r="R57" s="25" t="s">
        <v>4</v>
      </c>
      <c r="S57" s="26" t="s">
        <v>77</v>
      </c>
      <c r="T57" s="26" t="s">
        <v>70</v>
      </c>
      <c r="U57" s="32"/>
      <c r="V57" s="25" t="s">
        <v>4</v>
      </c>
      <c r="W57" s="26" t="s">
        <v>77</v>
      </c>
      <c r="X57" s="26" t="s">
        <v>70</v>
      </c>
      <c r="Y57" s="32"/>
      <c r="Z57" s="25" t="s">
        <v>4</v>
      </c>
      <c r="AA57" s="26" t="s">
        <v>77</v>
      </c>
      <c r="AB57" s="26" t="s">
        <v>70</v>
      </c>
      <c r="AC57" s="32"/>
      <c r="AD57" s="25" t="s">
        <v>4</v>
      </c>
      <c r="AE57" s="26" t="s">
        <v>77</v>
      </c>
      <c r="AF57" s="26" t="s">
        <v>70</v>
      </c>
      <c r="AH57" s="25" t="s">
        <v>4</v>
      </c>
      <c r="AI57" s="26" t="s">
        <v>77</v>
      </c>
      <c r="AJ57" s="26" t="s">
        <v>70</v>
      </c>
    </row>
    <row r="58" spans="1:36" x14ac:dyDescent="0.2">
      <c r="A58" s="27" t="s">
        <v>47</v>
      </c>
      <c r="B58" s="33">
        <v>0.49</v>
      </c>
      <c r="C58" s="34">
        <v>22</v>
      </c>
      <c r="D58" s="34">
        <v>77490</v>
      </c>
      <c r="E58" s="32"/>
      <c r="F58" s="33">
        <v>0.44400000000000001</v>
      </c>
      <c r="G58" s="34">
        <v>22</v>
      </c>
      <c r="H58" s="34">
        <v>74849</v>
      </c>
      <c r="I58" s="32"/>
      <c r="J58" s="33">
        <v>0.46899999999999997</v>
      </c>
      <c r="K58" s="34">
        <v>20</v>
      </c>
      <c r="L58" s="34">
        <v>71238</v>
      </c>
      <c r="M58" s="32"/>
      <c r="N58" s="33">
        <v>0.40100000000000002</v>
      </c>
      <c r="O58" s="34">
        <v>21</v>
      </c>
      <c r="P58" s="34">
        <v>76237</v>
      </c>
      <c r="Q58" s="32"/>
      <c r="R58" s="33">
        <v>0.42399999999999999</v>
      </c>
      <c r="S58" s="34">
        <v>19</v>
      </c>
      <c r="T58" s="34">
        <v>72376</v>
      </c>
      <c r="U58" s="32"/>
      <c r="V58" s="33">
        <v>0.38100000000000001</v>
      </c>
      <c r="W58" s="34">
        <v>20</v>
      </c>
      <c r="X58" s="34">
        <v>71450</v>
      </c>
      <c r="Y58" s="32"/>
      <c r="Z58" s="33">
        <v>0.44500000000000001</v>
      </c>
      <c r="AA58" s="34">
        <v>17</v>
      </c>
      <c r="AB58" s="34">
        <v>63318</v>
      </c>
      <c r="AC58" s="32"/>
      <c r="AD58" s="33">
        <v>0.42399999999999999</v>
      </c>
      <c r="AE58" s="34">
        <v>17</v>
      </c>
      <c r="AF58" s="34">
        <v>66256</v>
      </c>
      <c r="AH58" s="33">
        <v>0.46500000000000002</v>
      </c>
      <c r="AI58" s="34">
        <v>21</v>
      </c>
      <c r="AJ58" s="34">
        <v>62258</v>
      </c>
    </row>
    <row r="59" spans="1:36" x14ac:dyDescent="0.2">
      <c r="A59" s="27"/>
      <c r="B59" s="33"/>
      <c r="C59" s="34"/>
      <c r="D59" s="34"/>
      <c r="E59" s="32"/>
      <c r="F59" s="33"/>
      <c r="G59" s="34"/>
      <c r="H59" s="34"/>
      <c r="I59" s="32"/>
      <c r="J59" s="33"/>
      <c r="K59" s="34"/>
      <c r="L59" s="34"/>
      <c r="M59" s="32"/>
      <c r="N59" s="33"/>
      <c r="O59" s="34"/>
      <c r="P59" s="34"/>
      <c r="Q59" s="32"/>
      <c r="R59" s="33"/>
      <c r="S59" s="34"/>
      <c r="T59" s="34"/>
      <c r="U59" s="32"/>
      <c r="V59" s="33"/>
      <c r="W59" s="34"/>
      <c r="X59" s="34"/>
      <c r="Y59" s="32"/>
      <c r="Z59" s="33"/>
      <c r="AA59" s="34"/>
      <c r="AB59" s="34"/>
      <c r="AC59" s="32"/>
      <c r="AD59" s="33"/>
      <c r="AE59" s="34"/>
      <c r="AF59" s="34"/>
      <c r="AH59" s="33"/>
      <c r="AI59" s="35"/>
      <c r="AJ59" s="34"/>
    </row>
    <row r="60" spans="1:36" x14ac:dyDescent="0.2">
      <c r="A60" s="27" t="s">
        <v>53</v>
      </c>
      <c r="B60" s="33">
        <v>0.47199999999999998</v>
      </c>
      <c r="C60" s="34">
        <v>7</v>
      </c>
      <c r="D60" s="34">
        <v>57180</v>
      </c>
      <c r="E60" s="32"/>
      <c r="F60" s="33">
        <v>0.42699999999999999</v>
      </c>
      <c r="G60" s="34">
        <v>7</v>
      </c>
      <c r="H60" s="34">
        <v>54330</v>
      </c>
      <c r="I60" s="32"/>
      <c r="J60" s="33">
        <v>0.498</v>
      </c>
      <c r="K60" s="34">
        <v>6</v>
      </c>
      <c r="L60" s="34">
        <v>50130</v>
      </c>
      <c r="M60" s="32"/>
      <c r="N60" s="33">
        <v>0.39900000000000002</v>
      </c>
      <c r="O60" s="34">
        <v>6</v>
      </c>
      <c r="P60" s="34">
        <v>52530</v>
      </c>
      <c r="Q60" s="32"/>
      <c r="R60" s="33">
        <v>0.374</v>
      </c>
      <c r="S60" s="34">
        <v>5</v>
      </c>
      <c r="T60" s="34">
        <v>45390</v>
      </c>
      <c r="U60" s="32"/>
      <c r="V60" s="33">
        <v>0.377</v>
      </c>
      <c r="W60" s="34">
        <v>6</v>
      </c>
      <c r="X60" s="34">
        <v>50348</v>
      </c>
      <c r="Y60" s="32"/>
      <c r="Z60" s="33">
        <v>0.45300000000000001</v>
      </c>
      <c r="AA60" s="34">
        <v>5</v>
      </c>
      <c r="AB60" s="34">
        <v>41820</v>
      </c>
      <c r="AC60" s="32"/>
      <c r="AD60" s="33">
        <v>0.42799999999999999</v>
      </c>
      <c r="AE60" s="34">
        <v>5</v>
      </c>
      <c r="AF60" s="34">
        <v>42030</v>
      </c>
      <c r="AH60" s="33">
        <v>0.47499999999999998</v>
      </c>
      <c r="AI60" s="34">
        <v>6</v>
      </c>
      <c r="AJ60" s="34">
        <v>40857</v>
      </c>
    </row>
    <row r="61" spans="1:36" x14ac:dyDescent="0.2">
      <c r="A61" s="27" t="s">
        <v>50</v>
      </c>
      <c r="B61" s="33">
        <v>0.47499999999999998</v>
      </c>
      <c r="C61" s="34">
        <v>4</v>
      </c>
      <c r="D61" s="34">
        <v>9510</v>
      </c>
      <c r="E61" s="32"/>
      <c r="F61" s="33">
        <v>0.40699999999999997</v>
      </c>
      <c r="G61" s="34">
        <v>4</v>
      </c>
      <c r="H61" s="34">
        <v>11189</v>
      </c>
      <c r="I61" s="32"/>
      <c r="J61" s="33">
        <v>0.308</v>
      </c>
      <c r="K61" s="34">
        <v>5</v>
      </c>
      <c r="L61" s="34">
        <v>12929</v>
      </c>
      <c r="M61" s="32"/>
      <c r="N61" s="33">
        <v>0.41799999999999998</v>
      </c>
      <c r="O61" s="34">
        <v>6</v>
      </c>
      <c r="P61" s="34">
        <v>15420</v>
      </c>
      <c r="Q61" s="32"/>
      <c r="R61" s="33">
        <v>0.54</v>
      </c>
      <c r="S61" s="34">
        <v>6</v>
      </c>
      <c r="T61" s="34">
        <v>16590</v>
      </c>
      <c r="U61" s="32"/>
      <c r="V61" s="33">
        <v>0.26300000000000001</v>
      </c>
      <c r="W61" s="34">
        <v>6</v>
      </c>
      <c r="X61" s="34">
        <v>11142</v>
      </c>
      <c r="Y61" s="32"/>
      <c r="Z61" s="33">
        <v>0.374</v>
      </c>
      <c r="AA61" s="34">
        <v>5</v>
      </c>
      <c r="AB61" s="34">
        <v>14520</v>
      </c>
      <c r="AC61" s="32"/>
      <c r="AD61" s="33">
        <v>0.39300000000000002</v>
      </c>
      <c r="AE61" s="34">
        <v>7</v>
      </c>
      <c r="AF61" s="34">
        <v>18990</v>
      </c>
      <c r="AH61" s="33">
        <v>0.442</v>
      </c>
      <c r="AI61" s="34">
        <v>7</v>
      </c>
      <c r="AJ61" s="34">
        <v>14097</v>
      </c>
    </row>
    <row r="62" spans="1:36" x14ac:dyDescent="0.2">
      <c r="A62" s="27" t="s">
        <v>51</v>
      </c>
      <c r="B62" s="33">
        <v>0.59599999999999997</v>
      </c>
      <c r="C62" s="34">
        <v>11</v>
      </c>
      <c r="D62" s="34">
        <v>10800</v>
      </c>
      <c r="E62" s="32"/>
      <c r="F62" s="33">
        <v>0.58799999999999997</v>
      </c>
      <c r="G62" s="34">
        <v>11</v>
      </c>
      <c r="H62" s="34">
        <v>9330</v>
      </c>
      <c r="I62" s="32"/>
      <c r="J62" s="33">
        <v>0.54300000000000004</v>
      </c>
      <c r="K62" s="34">
        <v>9</v>
      </c>
      <c r="L62" s="34">
        <v>8179</v>
      </c>
      <c r="M62" s="32"/>
      <c r="N62" s="33">
        <v>0.38500000000000001</v>
      </c>
      <c r="O62" s="34">
        <v>9</v>
      </c>
      <c r="P62" s="34">
        <v>8287</v>
      </c>
      <c r="Q62" s="32"/>
      <c r="R62" s="33">
        <v>0.45800000000000002</v>
      </c>
      <c r="S62" s="34">
        <v>8</v>
      </c>
      <c r="T62" s="34">
        <v>10396</v>
      </c>
      <c r="U62" s="32"/>
      <c r="V62" s="33">
        <v>0.53300000000000003</v>
      </c>
      <c r="W62" s="34">
        <v>8</v>
      </c>
      <c r="X62" s="34">
        <v>9960</v>
      </c>
      <c r="Y62" s="32"/>
      <c r="Z62" s="33">
        <v>0.55000000000000004</v>
      </c>
      <c r="AA62" s="34">
        <v>7</v>
      </c>
      <c r="AB62" s="34">
        <v>6978</v>
      </c>
      <c r="AC62" s="32"/>
      <c r="AD62" s="33">
        <v>0.502</v>
      </c>
      <c r="AE62" s="34">
        <v>5</v>
      </c>
      <c r="AF62" s="34">
        <v>5236</v>
      </c>
      <c r="AH62" s="33">
        <v>0.45500000000000002</v>
      </c>
      <c r="AI62" s="34">
        <v>8</v>
      </c>
      <c r="AJ62" s="34">
        <v>7304</v>
      </c>
    </row>
    <row r="63" spans="1:36" x14ac:dyDescent="0.2">
      <c r="A63" s="27"/>
      <c r="B63" s="33"/>
      <c r="C63" s="34"/>
      <c r="D63" s="34"/>
      <c r="E63" s="32"/>
      <c r="F63" s="33"/>
      <c r="G63" s="34"/>
      <c r="H63" s="34"/>
      <c r="I63" s="32"/>
      <c r="J63" s="33"/>
      <c r="K63" s="34"/>
      <c r="L63" s="34"/>
      <c r="M63" s="32"/>
      <c r="N63" s="33"/>
      <c r="O63" s="34"/>
      <c r="P63" s="34"/>
      <c r="Q63" s="32"/>
      <c r="R63" s="33"/>
      <c r="S63" s="34"/>
      <c r="T63" s="34"/>
      <c r="U63" s="32"/>
      <c r="V63" s="33"/>
      <c r="W63" s="34"/>
      <c r="X63" s="34"/>
      <c r="Y63" s="32"/>
      <c r="Z63" s="33"/>
      <c r="AA63" s="34"/>
      <c r="AB63" s="34"/>
      <c r="AC63" s="32"/>
      <c r="AD63" s="33"/>
      <c r="AE63" s="34"/>
      <c r="AF63" s="34"/>
      <c r="AH63" s="33"/>
      <c r="AI63" s="34"/>
      <c r="AJ63" s="34"/>
    </row>
    <row r="64" spans="1:36" x14ac:dyDescent="0.2">
      <c r="A64" s="27" t="s">
        <v>43</v>
      </c>
      <c r="B64" s="33">
        <v>0.48899999999999999</v>
      </c>
      <c r="C64" s="34">
        <v>2</v>
      </c>
      <c r="D64" s="34">
        <v>6870</v>
      </c>
      <c r="E64" s="32"/>
      <c r="F64" s="33">
        <v>0.499</v>
      </c>
      <c r="G64" s="34">
        <v>2</v>
      </c>
      <c r="H64" s="34">
        <v>6060</v>
      </c>
      <c r="I64" s="32"/>
      <c r="J64" s="33">
        <v>0.44900000000000001</v>
      </c>
      <c r="K64" s="34">
        <v>2</v>
      </c>
      <c r="L64" s="34">
        <v>6210</v>
      </c>
      <c r="M64" s="32"/>
      <c r="N64" s="33">
        <v>0.56999999999999995</v>
      </c>
      <c r="O64" s="34">
        <v>2</v>
      </c>
      <c r="P64" s="34">
        <v>3703</v>
      </c>
      <c r="Q64" s="32"/>
      <c r="R64" s="33">
        <v>0.45800000000000002</v>
      </c>
      <c r="S64" s="34">
        <v>2</v>
      </c>
      <c r="T64" s="34">
        <v>6090</v>
      </c>
      <c r="U64" s="32"/>
      <c r="V64" s="33">
        <v>0.41699999999999998</v>
      </c>
      <c r="W64" s="34">
        <v>2</v>
      </c>
      <c r="X64" s="34">
        <v>6210</v>
      </c>
      <c r="Y64" s="32"/>
      <c r="Z64" s="33">
        <v>0.54600000000000004</v>
      </c>
      <c r="AA64" s="34">
        <v>1</v>
      </c>
      <c r="AB64" s="34">
        <v>2760</v>
      </c>
      <c r="AC64" s="32"/>
      <c r="AD64" s="33">
        <v>0.39800000000000002</v>
      </c>
      <c r="AE64" s="34">
        <v>2</v>
      </c>
      <c r="AF64" s="34">
        <v>6210</v>
      </c>
      <c r="AH64" s="33">
        <v>0.47</v>
      </c>
      <c r="AI64" s="34">
        <v>4</v>
      </c>
      <c r="AJ64" s="34">
        <v>7132</v>
      </c>
    </row>
    <row r="65" spans="1:40" x14ac:dyDescent="0.2">
      <c r="A65" s="27" t="s">
        <v>49</v>
      </c>
      <c r="B65" s="33">
        <v>0.48799999999999999</v>
      </c>
      <c r="C65" s="34">
        <v>15</v>
      </c>
      <c r="D65" s="34">
        <v>66300</v>
      </c>
      <c r="E65" s="32"/>
      <c r="F65" s="33">
        <v>0.44</v>
      </c>
      <c r="G65" s="34">
        <v>15</v>
      </c>
      <c r="H65" s="34">
        <v>65489</v>
      </c>
      <c r="I65" s="32"/>
      <c r="J65" s="33">
        <v>0.47499999999999998</v>
      </c>
      <c r="K65" s="34">
        <v>15</v>
      </c>
      <c r="L65" s="34">
        <v>62808</v>
      </c>
      <c r="M65" s="32"/>
      <c r="N65" s="33">
        <v>0.4</v>
      </c>
      <c r="O65" s="34">
        <v>16</v>
      </c>
      <c r="P65" s="34">
        <v>69234</v>
      </c>
      <c r="Q65" s="32"/>
      <c r="R65" s="33">
        <v>0.42599999999999999</v>
      </c>
      <c r="S65" s="34">
        <v>15</v>
      </c>
      <c r="T65" s="34">
        <v>64440</v>
      </c>
      <c r="U65" s="32"/>
      <c r="V65" s="33">
        <v>0.378</v>
      </c>
      <c r="W65" s="34">
        <v>16</v>
      </c>
      <c r="X65" s="34">
        <v>63440</v>
      </c>
      <c r="Y65" s="32"/>
      <c r="Z65" s="33">
        <v>0.443</v>
      </c>
      <c r="AA65" s="34">
        <v>14</v>
      </c>
      <c r="AB65" s="34">
        <v>58758</v>
      </c>
      <c r="AC65" s="32"/>
      <c r="AD65" s="33">
        <v>0.42499999999999999</v>
      </c>
      <c r="AE65" s="34">
        <v>13</v>
      </c>
      <c r="AF65" s="34">
        <v>58200</v>
      </c>
      <c r="AH65" s="33">
        <v>0.46800000000000003</v>
      </c>
      <c r="AI65" s="34">
        <v>14</v>
      </c>
      <c r="AJ65" s="34">
        <v>52486</v>
      </c>
    </row>
    <row r="66" spans="1:40" x14ac:dyDescent="0.2">
      <c r="A66" s="27" t="s">
        <v>45</v>
      </c>
      <c r="B66" s="33">
        <v>0.52400000000000002</v>
      </c>
      <c r="C66" s="34">
        <v>5</v>
      </c>
      <c r="D66" s="34">
        <v>4320</v>
      </c>
      <c r="E66" s="32"/>
      <c r="F66" s="33">
        <v>0.43099999999999999</v>
      </c>
      <c r="G66" s="34">
        <v>5</v>
      </c>
      <c r="H66" s="34">
        <v>3300</v>
      </c>
      <c r="I66" s="32"/>
      <c r="J66" s="33">
        <v>0.34300000000000003</v>
      </c>
      <c r="K66" s="34">
        <v>3</v>
      </c>
      <c r="L66" s="34">
        <v>2220</v>
      </c>
      <c r="M66" s="32"/>
      <c r="N66" s="33">
        <v>0.23100000000000001</v>
      </c>
      <c r="O66" s="34">
        <v>3</v>
      </c>
      <c r="P66" s="34">
        <v>3300</v>
      </c>
      <c r="Q66" s="32"/>
      <c r="R66" s="33">
        <v>0.23400000000000001</v>
      </c>
      <c r="S66" s="34">
        <v>2</v>
      </c>
      <c r="T66" s="34">
        <v>1846</v>
      </c>
      <c r="U66" s="32"/>
      <c r="V66" s="33">
        <v>0.36599999999999999</v>
      </c>
      <c r="W66" s="34">
        <v>2</v>
      </c>
      <c r="X66" s="34">
        <v>1800</v>
      </c>
      <c r="Y66" s="32"/>
      <c r="Z66" s="33">
        <v>0.36299999999999999</v>
      </c>
      <c r="AA66" s="34">
        <v>2</v>
      </c>
      <c r="AB66" s="34">
        <v>1800</v>
      </c>
      <c r="AC66" s="32"/>
      <c r="AD66" s="33">
        <v>0.45200000000000001</v>
      </c>
      <c r="AE66" s="34">
        <v>2</v>
      </c>
      <c r="AF66" s="34">
        <v>1846</v>
      </c>
      <c r="AH66" s="33">
        <v>0.40300000000000002</v>
      </c>
      <c r="AI66" s="34">
        <v>3</v>
      </c>
      <c r="AJ66" s="34">
        <v>2640</v>
      </c>
    </row>
    <row r="67" spans="1:40" x14ac:dyDescent="0.2">
      <c r="A67" s="27"/>
      <c r="B67" s="36"/>
      <c r="C67" s="37"/>
      <c r="D67" s="37"/>
      <c r="E67" s="32"/>
      <c r="F67" s="36"/>
      <c r="G67" s="37"/>
      <c r="H67" s="37"/>
    </row>
    <row r="68" spans="1:40" x14ac:dyDescent="0.2">
      <c r="A68" s="32"/>
      <c r="B68" s="101" t="s">
        <v>217</v>
      </c>
      <c r="C68" s="102"/>
      <c r="D68" s="102"/>
      <c r="E68" s="32"/>
      <c r="F68" s="101" t="s">
        <v>186</v>
      </c>
      <c r="G68" s="102"/>
      <c r="H68" s="102"/>
      <c r="I68" s="32"/>
      <c r="J68" s="101" t="s">
        <v>170</v>
      </c>
      <c r="K68" s="102"/>
      <c r="L68" s="102"/>
      <c r="M68" s="32"/>
      <c r="N68" s="101" t="s">
        <v>155</v>
      </c>
      <c r="O68" s="102"/>
      <c r="P68" s="102"/>
      <c r="Q68" s="32"/>
      <c r="R68" s="101" t="s">
        <v>137</v>
      </c>
      <c r="S68" s="102"/>
      <c r="T68" s="102"/>
      <c r="U68" s="32"/>
      <c r="V68" s="101" t="s">
        <v>138</v>
      </c>
      <c r="W68" s="102"/>
      <c r="X68" s="102"/>
      <c r="Y68" s="32"/>
      <c r="Z68" s="101" t="s">
        <v>102</v>
      </c>
      <c r="AA68" s="102"/>
      <c r="AB68" s="102"/>
      <c r="AC68" s="32"/>
      <c r="AD68" s="101" t="s">
        <v>82</v>
      </c>
      <c r="AE68" s="102"/>
      <c r="AF68" s="102"/>
      <c r="AG68" s="32"/>
      <c r="AH68" s="101" t="s">
        <v>83</v>
      </c>
      <c r="AI68" s="102"/>
      <c r="AJ68" s="102"/>
    </row>
    <row r="69" spans="1:40" ht="33.75" x14ac:dyDescent="0.2">
      <c r="A69" s="32"/>
      <c r="B69" s="25" t="s">
        <v>4</v>
      </c>
      <c r="C69" s="26" t="s">
        <v>77</v>
      </c>
      <c r="D69" s="26" t="s">
        <v>70</v>
      </c>
      <c r="E69" s="32"/>
      <c r="F69" s="25" t="s">
        <v>4</v>
      </c>
      <c r="G69" s="26" t="s">
        <v>77</v>
      </c>
      <c r="H69" s="26" t="s">
        <v>70</v>
      </c>
      <c r="I69" s="32"/>
      <c r="J69" s="25" t="s">
        <v>4</v>
      </c>
      <c r="K69" s="26" t="s">
        <v>77</v>
      </c>
      <c r="L69" s="26" t="s">
        <v>70</v>
      </c>
      <c r="M69" s="32"/>
      <c r="N69" s="25" t="s">
        <v>4</v>
      </c>
      <c r="O69" s="26" t="s">
        <v>77</v>
      </c>
      <c r="P69" s="26" t="s">
        <v>70</v>
      </c>
      <c r="Q69" s="32"/>
      <c r="R69" s="25" t="s">
        <v>4</v>
      </c>
      <c r="S69" s="26" t="s">
        <v>77</v>
      </c>
      <c r="T69" s="26" t="s">
        <v>70</v>
      </c>
      <c r="U69" s="32"/>
      <c r="V69" s="25" t="s">
        <v>4</v>
      </c>
      <c r="W69" s="26" t="s">
        <v>77</v>
      </c>
      <c r="X69" s="26" t="s">
        <v>70</v>
      </c>
      <c r="Y69" s="32"/>
      <c r="Z69" s="25" t="s">
        <v>4</v>
      </c>
      <c r="AA69" s="26" t="s">
        <v>77</v>
      </c>
      <c r="AB69" s="26" t="s">
        <v>70</v>
      </c>
      <c r="AC69" s="32"/>
      <c r="AD69" s="25" t="s">
        <v>4</v>
      </c>
      <c r="AE69" s="26" t="s">
        <v>77</v>
      </c>
      <c r="AF69" s="26" t="s">
        <v>70</v>
      </c>
      <c r="AG69" s="32"/>
      <c r="AH69" s="25" t="s">
        <v>4</v>
      </c>
      <c r="AI69" s="26" t="s">
        <v>77</v>
      </c>
      <c r="AJ69" s="26" t="s">
        <v>70</v>
      </c>
    </row>
    <row r="70" spans="1:40" x14ac:dyDescent="0.2">
      <c r="A70" s="27" t="s">
        <v>47</v>
      </c>
      <c r="B70" s="33">
        <v>0.48199999999999998</v>
      </c>
      <c r="C70" s="34">
        <v>29</v>
      </c>
      <c r="D70" s="34">
        <v>87035</v>
      </c>
      <c r="E70" s="32"/>
      <c r="F70" s="33">
        <v>0.50900000000000001</v>
      </c>
      <c r="G70" s="34">
        <v>29</v>
      </c>
      <c r="H70" s="34">
        <v>86109</v>
      </c>
      <c r="I70" s="32"/>
      <c r="J70" s="33">
        <v>0.48799999999999999</v>
      </c>
      <c r="K70" s="34">
        <v>26</v>
      </c>
      <c r="L70" s="34">
        <v>85421</v>
      </c>
      <c r="M70" s="32"/>
      <c r="N70" s="33">
        <v>0.54400000000000004</v>
      </c>
      <c r="O70" s="34">
        <v>23</v>
      </c>
      <c r="P70" s="34">
        <v>85040</v>
      </c>
      <c r="Q70" s="32"/>
      <c r="R70" s="33">
        <v>0.57299999999999995</v>
      </c>
      <c r="S70" s="34">
        <v>24</v>
      </c>
      <c r="T70" s="34">
        <v>86544</v>
      </c>
      <c r="U70" s="32"/>
      <c r="V70" s="33">
        <v>0.57499999999999996</v>
      </c>
      <c r="W70" s="34">
        <v>22</v>
      </c>
      <c r="X70" s="34">
        <v>76585</v>
      </c>
      <c r="Y70" s="32"/>
      <c r="Z70" s="33">
        <v>0.498</v>
      </c>
      <c r="AA70" s="34">
        <v>21</v>
      </c>
      <c r="AB70" s="34">
        <v>73320</v>
      </c>
      <c r="AC70" s="32"/>
      <c r="AD70" s="33">
        <v>0.57799999999999996</v>
      </c>
      <c r="AE70" s="34">
        <v>21</v>
      </c>
      <c r="AF70" s="34">
        <v>73830</v>
      </c>
      <c r="AG70" s="32"/>
      <c r="AH70" s="33">
        <v>0.56699999999999995</v>
      </c>
      <c r="AI70" s="34">
        <v>23</v>
      </c>
      <c r="AJ70" s="34">
        <v>68481</v>
      </c>
    </row>
    <row r="71" spans="1:40" x14ac:dyDescent="0.2">
      <c r="A71" s="27"/>
      <c r="B71" s="33"/>
      <c r="C71" s="34"/>
      <c r="D71" s="34"/>
      <c r="E71" s="32"/>
      <c r="F71" s="33"/>
      <c r="G71" s="34"/>
      <c r="H71" s="34"/>
      <c r="I71" s="32"/>
      <c r="J71" s="33"/>
      <c r="K71" s="34"/>
      <c r="L71" s="34"/>
      <c r="M71" s="32"/>
      <c r="N71" s="33"/>
      <c r="O71" s="34"/>
      <c r="P71" s="34"/>
      <c r="Q71" s="32"/>
      <c r="R71" s="33"/>
      <c r="S71" s="34"/>
      <c r="T71" s="34"/>
      <c r="U71" s="32"/>
      <c r="V71" s="33"/>
      <c r="W71" s="34"/>
      <c r="X71" s="34"/>
      <c r="Y71" s="32"/>
      <c r="Z71" s="33"/>
      <c r="AA71" s="34"/>
      <c r="AB71" s="34"/>
      <c r="AC71" s="32"/>
      <c r="AD71" s="33"/>
      <c r="AE71" s="34"/>
      <c r="AF71" s="34"/>
      <c r="AG71" s="32"/>
      <c r="AH71" s="33"/>
      <c r="AI71" s="35"/>
      <c r="AJ71" s="34"/>
    </row>
    <row r="72" spans="1:40" x14ac:dyDescent="0.2">
      <c r="A72" s="27" t="s">
        <v>53</v>
      </c>
      <c r="B72" s="33">
        <v>0.45200000000000001</v>
      </c>
      <c r="C72" s="34">
        <v>7</v>
      </c>
      <c r="D72" s="34">
        <v>59334</v>
      </c>
      <c r="E72" s="32"/>
      <c r="F72" s="33">
        <v>0.503</v>
      </c>
      <c r="G72" s="34">
        <v>6</v>
      </c>
      <c r="H72" s="34">
        <v>53630</v>
      </c>
      <c r="I72" s="32"/>
      <c r="J72" s="33">
        <v>0.51500000000000001</v>
      </c>
      <c r="K72" s="34">
        <v>7</v>
      </c>
      <c r="L72" s="34">
        <v>56718</v>
      </c>
      <c r="M72" s="32"/>
      <c r="N72" s="33">
        <v>0.52500000000000002</v>
      </c>
      <c r="O72" s="34">
        <v>7</v>
      </c>
      <c r="P72" s="34">
        <v>54281</v>
      </c>
      <c r="Q72" s="32"/>
      <c r="R72" s="33">
        <v>0.54900000000000004</v>
      </c>
      <c r="S72" s="34">
        <v>6</v>
      </c>
      <c r="T72" s="34">
        <v>54684</v>
      </c>
      <c r="U72" s="32"/>
      <c r="V72" s="33">
        <v>0.59499999999999997</v>
      </c>
      <c r="W72" s="34">
        <v>5</v>
      </c>
      <c r="X72" s="34">
        <v>45074</v>
      </c>
      <c r="Y72" s="32"/>
      <c r="Z72" s="33">
        <v>0.52100000000000002</v>
      </c>
      <c r="AA72" s="34">
        <v>5</v>
      </c>
      <c r="AB72" s="34">
        <v>43214</v>
      </c>
      <c r="AC72" s="32"/>
      <c r="AD72" s="33">
        <v>0.58799999999999997</v>
      </c>
      <c r="AE72" s="34">
        <v>5</v>
      </c>
      <c r="AF72" s="34">
        <v>43431</v>
      </c>
      <c r="AG72" s="32"/>
      <c r="AH72" s="33">
        <v>0.57699999999999996</v>
      </c>
      <c r="AI72" s="34">
        <v>6</v>
      </c>
      <c r="AJ72" s="34">
        <v>41261</v>
      </c>
    </row>
    <row r="73" spans="1:40" x14ac:dyDescent="0.2">
      <c r="A73" s="27" t="s">
        <v>50</v>
      </c>
      <c r="B73" s="33">
        <v>0.501</v>
      </c>
      <c r="C73" s="34">
        <v>8</v>
      </c>
      <c r="D73" s="34">
        <v>15376</v>
      </c>
      <c r="E73" s="32"/>
      <c r="F73" s="33">
        <v>0.46800000000000003</v>
      </c>
      <c r="G73" s="34">
        <v>9</v>
      </c>
      <c r="H73" s="34">
        <v>20338</v>
      </c>
      <c r="I73" s="32"/>
      <c r="J73" s="33">
        <v>0.36499999999999999</v>
      </c>
      <c r="K73" s="34">
        <v>7</v>
      </c>
      <c r="L73" s="34">
        <v>17700</v>
      </c>
      <c r="M73" s="32"/>
      <c r="N73" s="33">
        <v>0.59499999999999997</v>
      </c>
      <c r="O73" s="34">
        <v>7</v>
      </c>
      <c r="P73" s="34">
        <v>18338</v>
      </c>
      <c r="Q73" s="32"/>
      <c r="R73" s="33">
        <v>0.64</v>
      </c>
      <c r="S73" s="34">
        <v>7</v>
      </c>
      <c r="T73" s="34">
        <v>18507</v>
      </c>
      <c r="U73" s="32"/>
      <c r="V73" s="33">
        <v>0.51500000000000001</v>
      </c>
      <c r="W73" s="34">
        <v>7</v>
      </c>
      <c r="X73" s="34">
        <v>19390</v>
      </c>
      <c r="Y73" s="32"/>
      <c r="Z73" s="33">
        <v>0.44900000000000001</v>
      </c>
      <c r="AA73" s="34">
        <v>6</v>
      </c>
      <c r="AB73" s="34">
        <v>18042</v>
      </c>
      <c r="AC73" s="32"/>
      <c r="AD73" s="33">
        <v>0.55700000000000005</v>
      </c>
      <c r="AE73" s="34">
        <v>9</v>
      </c>
      <c r="AF73" s="34">
        <v>23749</v>
      </c>
      <c r="AG73" s="32"/>
      <c r="AH73" s="33">
        <v>0.53100000000000003</v>
      </c>
      <c r="AI73" s="34">
        <v>10</v>
      </c>
      <c r="AJ73" s="34">
        <v>20555</v>
      </c>
    </row>
    <row r="74" spans="1:40" x14ac:dyDescent="0.2">
      <c r="A74" s="27" t="s">
        <v>51</v>
      </c>
      <c r="B74" s="33">
        <v>0.60499999999999998</v>
      </c>
      <c r="C74" s="34">
        <v>14</v>
      </c>
      <c r="D74" s="34">
        <v>12325</v>
      </c>
      <c r="E74" s="32"/>
      <c r="F74" s="33">
        <v>0.60799999999999998</v>
      </c>
      <c r="G74" s="34">
        <v>14</v>
      </c>
      <c r="H74" s="34">
        <v>12141</v>
      </c>
      <c r="I74" s="32"/>
      <c r="J74" s="33">
        <v>0.54200000000000004</v>
      </c>
      <c r="K74" s="34">
        <v>12</v>
      </c>
      <c r="L74" s="34">
        <v>11003</v>
      </c>
      <c r="M74" s="32"/>
      <c r="N74" s="33">
        <v>0.56599999999999995</v>
      </c>
      <c r="O74" s="34">
        <v>9</v>
      </c>
      <c r="P74" s="34">
        <v>12422</v>
      </c>
      <c r="Q74" s="32"/>
      <c r="R74" s="33">
        <v>0.57399999999999995</v>
      </c>
      <c r="S74" s="34">
        <v>11</v>
      </c>
      <c r="T74" s="34">
        <v>13353</v>
      </c>
      <c r="U74" s="32"/>
      <c r="V74" s="33">
        <v>0.59299999999999997</v>
      </c>
      <c r="W74" s="34">
        <v>10</v>
      </c>
      <c r="X74" s="34">
        <v>12121</v>
      </c>
      <c r="Y74" s="32"/>
      <c r="Z74" s="33">
        <v>0.49099999999999999</v>
      </c>
      <c r="AA74" s="34">
        <v>10</v>
      </c>
      <c r="AB74" s="34">
        <v>12064</v>
      </c>
      <c r="AC74" s="32"/>
      <c r="AD74" s="33">
        <v>0.58899999999999997</v>
      </c>
      <c r="AE74" s="34">
        <v>7</v>
      </c>
      <c r="AF74" s="34">
        <v>6650</v>
      </c>
      <c r="AG74" s="32"/>
      <c r="AH74" s="33">
        <v>0.623</v>
      </c>
      <c r="AI74" s="34">
        <v>7</v>
      </c>
      <c r="AJ74" s="34">
        <v>6665</v>
      </c>
    </row>
    <row r="75" spans="1:40" x14ac:dyDescent="0.2">
      <c r="A75" s="27"/>
      <c r="B75" s="33"/>
      <c r="C75" s="34"/>
      <c r="D75" s="34"/>
      <c r="E75" s="32"/>
      <c r="F75" s="33"/>
      <c r="G75" s="34"/>
      <c r="H75" s="34"/>
      <c r="I75" s="32"/>
      <c r="J75" s="33"/>
      <c r="K75" s="34"/>
      <c r="L75" s="34"/>
      <c r="M75" s="32"/>
      <c r="N75" s="33"/>
      <c r="O75" s="34"/>
      <c r="P75" s="34"/>
      <c r="Q75" s="32"/>
      <c r="R75" s="33"/>
      <c r="S75" s="34"/>
      <c r="T75" s="34"/>
      <c r="U75" s="32"/>
      <c r="V75" s="33"/>
      <c r="W75" s="34"/>
      <c r="X75" s="34"/>
      <c r="Y75" s="32"/>
      <c r="Z75" s="33"/>
      <c r="AA75" s="34"/>
      <c r="AB75" s="34"/>
      <c r="AC75" s="32"/>
      <c r="AD75" s="33"/>
      <c r="AE75" s="34"/>
      <c r="AF75" s="34"/>
      <c r="AG75" s="32"/>
      <c r="AH75" s="33"/>
      <c r="AI75" s="34"/>
      <c r="AJ75" s="34"/>
    </row>
    <row r="76" spans="1:40" x14ac:dyDescent="0.2">
      <c r="A76" s="27" t="s">
        <v>43</v>
      </c>
      <c r="B76" s="33">
        <v>0.52900000000000003</v>
      </c>
      <c r="C76" s="34">
        <v>7</v>
      </c>
      <c r="D76" s="34">
        <v>12132</v>
      </c>
      <c r="E76" s="32"/>
      <c r="F76" s="33">
        <v>0.55500000000000005</v>
      </c>
      <c r="G76" s="34">
        <v>7</v>
      </c>
      <c r="H76" s="34">
        <v>13426</v>
      </c>
      <c r="I76" s="32"/>
      <c r="J76" s="33">
        <v>0.44500000000000001</v>
      </c>
      <c r="K76" s="34">
        <v>5</v>
      </c>
      <c r="L76" s="34">
        <v>10788</v>
      </c>
      <c r="M76" s="32"/>
      <c r="N76" s="33">
        <v>0.497</v>
      </c>
      <c r="O76" s="34">
        <v>4</v>
      </c>
      <c r="P76" s="34">
        <v>8440</v>
      </c>
      <c r="Q76" s="32"/>
      <c r="R76" s="33">
        <v>0.51200000000000001</v>
      </c>
      <c r="S76" s="34">
        <v>5</v>
      </c>
      <c r="T76" s="34">
        <v>9486</v>
      </c>
      <c r="U76" s="32"/>
      <c r="V76" s="33">
        <v>0.47899999999999998</v>
      </c>
      <c r="W76" s="34">
        <v>5</v>
      </c>
      <c r="X76" s="34">
        <v>10462</v>
      </c>
      <c r="Y76" s="32"/>
      <c r="Z76" s="33">
        <v>0.377</v>
      </c>
      <c r="AA76" s="34">
        <v>4</v>
      </c>
      <c r="AB76" s="34">
        <v>9920</v>
      </c>
      <c r="AC76" s="32"/>
      <c r="AD76" s="33">
        <v>0.48799999999999999</v>
      </c>
      <c r="AE76" s="34">
        <v>5</v>
      </c>
      <c r="AF76" s="34">
        <v>11318</v>
      </c>
      <c r="AG76" s="32"/>
      <c r="AH76" s="33">
        <v>0.57299999999999995</v>
      </c>
      <c r="AI76" s="34">
        <v>6</v>
      </c>
      <c r="AJ76" s="34">
        <v>11472</v>
      </c>
    </row>
    <row r="77" spans="1:40" x14ac:dyDescent="0.2">
      <c r="A77" s="27" t="s">
        <v>49</v>
      </c>
      <c r="B77" s="33">
        <v>0.46800000000000003</v>
      </c>
      <c r="C77" s="34">
        <v>17</v>
      </c>
      <c r="D77" s="34">
        <v>70439</v>
      </c>
      <c r="E77" s="32"/>
      <c r="F77" s="33">
        <v>0.501</v>
      </c>
      <c r="G77" s="34">
        <v>17</v>
      </c>
      <c r="H77" s="34">
        <v>69273</v>
      </c>
      <c r="I77" s="32"/>
      <c r="J77" s="33">
        <v>0.497</v>
      </c>
      <c r="K77" s="34">
        <v>18</v>
      </c>
      <c r="L77" s="34">
        <v>72339</v>
      </c>
      <c r="M77" s="32"/>
      <c r="N77" s="33">
        <v>0.55300000000000005</v>
      </c>
      <c r="O77" s="34">
        <v>17</v>
      </c>
      <c r="P77" s="34">
        <v>74741</v>
      </c>
      <c r="Q77" s="32"/>
      <c r="R77" s="33">
        <v>0.58499999999999996</v>
      </c>
      <c r="S77" s="34">
        <v>17</v>
      </c>
      <c r="T77" s="34">
        <v>75144</v>
      </c>
      <c r="U77" s="32"/>
      <c r="V77" s="33">
        <v>0.59499999999999997</v>
      </c>
      <c r="W77" s="34">
        <v>15</v>
      </c>
      <c r="X77" s="34">
        <v>64263</v>
      </c>
      <c r="Y77" s="32"/>
      <c r="Z77" s="33">
        <v>0.52200000000000002</v>
      </c>
      <c r="AA77" s="34">
        <v>15</v>
      </c>
      <c r="AB77" s="34">
        <v>61568</v>
      </c>
      <c r="AC77" s="32"/>
      <c r="AD77" s="33">
        <v>0.59499999999999997</v>
      </c>
      <c r="AE77" s="34">
        <v>14</v>
      </c>
      <c r="AF77" s="34">
        <v>60652</v>
      </c>
      <c r="AG77" s="32"/>
      <c r="AH77" s="33">
        <v>0.56200000000000006</v>
      </c>
      <c r="AI77" s="34">
        <v>15</v>
      </c>
      <c r="AJ77" s="34">
        <v>55149</v>
      </c>
    </row>
    <row r="78" spans="1:40" x14ac:dyDescent="0.2">
      <c r="A78" s="27" t="s">
        <v>45</v>
      </c>
      <c r="B78" s="33">
        <v>0.57399999999999995</v>
      </c>
      <c r="C78" s="34">
        <v>5</v>
      </c>
      <c r="D78" s="34">
        <v>4464</v>
      </c>
      <c r="E78" s="32"/>
      <c r="F78" s="33">
        <v>0.502</v>
      </c>
      <c r="G78" s="34">
        <v>5</v>
      </c>
      <c r="H78" s="34">
        <v>3410</v>
      </c>
      <c r="I78" s="32"/>
      <c r="J78" s="33">
        <v>0.39600000000000002</v>
      </c>
      <c r="K78" s="34">
        <v>3</v>
      </c>
      <c r="L78" s="34">
        <v>2294</v>
      </c>
      <c r="M78" s="32"/>
      <c r="N78" s="33">
        <v>0.41899999999999998</v>
      </c>
      <c r="O78" s="34">
        <v>2</v>
      </c>
      <c r="P78" s="34">
        <v>1860</v>
      </c>
      <c r="Q78" s="32"/>
      <c r="R78" s="33">
        <v>0.379</v>
      </c>
      <c r="S78" s="34">
        <v>2</v>
      </c>
      <c r="T78" s="34">
        <v>1914</v>
      </c>
      <c r="U78" s="32"/>
      <c r="V78" s="33">
        <v>0.41299999999999998</v>
      </c>
      <c r="W78" s="34">
        <v>2</v>
      </c>
      <c r="X78" s="34">
        <v>1860</v>
      </c>
      <c r="Y78" s="32"/>
      <c r="Z78" s="33">
        <v>0.36299999999999999</v>
      </c>
      <c r="AA78" s="34">
        <v>2</v>
      </c>
      <c r="AB78" s="34">
        <v>1832</v>
      </c>
      <c r="AC78" s="32"/>
      <c r="AD78" s="33">
        <v>0.57599999999999996</v>
      </c>
      <c r="AE78" s="34">
        <v>2</v>
      </c>
      <c r="AF78" s="34">
        <v>1860</v>
      </c>
      <c r="AG78" s="32"/>
      <c r="AH78" s="33">
        <v>0.68700000000000006</v>
      </c>
      <c r="AI78" s="34">
        <v>2</v>
      </c>
      <c r="AJ78" s="34">
        <v>1860</v>
      </c>
    </row>
    <row r="79" spans="1:40" x14ac:dyDescent="0.2">
      <c r="A79" s="27"/>
      <c r="B79" s="36"/>
      <c r="C79" s="37"/>
      <c r="D79" s="37"/>
      <c r="E79" s="32"/>
      <c r="F79" s="36"/>
      <c r="G79" s="37"/>
      <c r="H79" s="37"/>
      <c r="I79" s="32"/>
      <c r="J79" s="36"/>
      <c r="K79" s="37"/>
      <c r="L79" s="37"/>
    </row>
    <row r="80" spans="1:40" ht="16.5" customHeight="1" x14ac:dyDescent="0.2">
      <c r="A80" s="32"/>
      <c r="B80" s="101" t="s">
        <v>230</v>
      </c>
      <c r="C80" s="102"/>
      <c r="D80" s="102"/>
      <c r="E80" s="32"/>
      <c r="F80" s="101" t="s">
        <v>216</v>
      </c>
      <c r="G80" s="102"/>
      <c r="H80" s="102"/>
      <c r="I80" s="32"/>
      <c r="J80" s="99" t="s">
        <v>185</v>
      </c>
      <c r="K80" s="99"/>
      <c r="L80" s="99"/>
      <c r="M80" s="32"/>
      <c r="N80" s="99" t="s">
        <v>169</v>
      </c>
      <c r="O80" s="99"/>
      <c r="P80" s="99"/>
      <c r="Q80" s="32"/>
      <c r="R80" s="99" t="s">
        <v>154</v>
      </c>
      <c r="S80" s="99"/>
      <c r="T80" s="99"/>
      <c r="U80" s="32"/>
      <c r="V80" s="99" t="s">
        <v>136</v>
      </c>
      <c r="W80" s="99"/>
      <c r="X80" s="99"/>
      <c r="Y80" s="32"/>
      <c r="Z80" s="99" t="s">
        <v>122</v>
      </c>
      <c r="AA80" s="99"/>
      <c r="AB80" s="99"/>
      <c r="AC80" s="32"/>
      <c r="AD80" s="99" t="s">
        <v>101</v>
      </c>
      <c r="AE80" s="99"/>
      <c r="AF80" s="99"/>
      <c r="AG80" s="32"/>
      <c r="AH80" s="99" t="s">
        <v>80</v>
      </c>
      <c r="AI80" s="99"/>
      <c r="AJ80" s="99"/>
      <c r="AL80" s="99" t="s">
        <v>81</v>
      </c>
      <c r="AM80" s="99"/>
      <c r="AN80" s="99"/>
    </row>
    <row r="81" spans="1:40" ht="29.25" customHeight="1" x14ac:dyDescent="0.2">
      <c r="A81" s="32"/>
      <c r="B81" s="25" t="s">
        <v>4</v>
      </c>
      <c r="C81" s="26" t="s">
        <v>77</v>
      </c>
      <c r="D81" s="26" t="s">
        <v>70</v>
      </c>
      <c r="E81" s="32"/>
      <c r="F81" s="25" t="s">
        <v>4</v>
      </c>
      <c r="G81" s="26" t="s">
        <v>77</v>
      </c>
      <c r="H81" s="26" t="s">
        <v>70</v>
      </c>
      <c r="I81" s="32"/>
      <c r="J81" s="25" t="s">
        <v>4</v>
      </c>
      <c r="K81" s="26" t="s">
        <v>77</v>
      </c>
      <c r="L81" s="26" t="s">
        <v>70</v>
      </c>
      <c r="M81" s="32"/>
      <c r="N81" s="25" t="s">
        <v>4</v>
      </c>
      <c r="O81" s="26" t="s">
        <v>77</v>
      </c>
      <c r="P81" s="26" t="s">
        <v>70</v>
      </c>
      <c r="Q81" s="32"/>
      <c r="R81" s="25" t="s">
        <v>4</v>
      </c>
      <c r="S81" s="26" t="s">
        <v>77</v>
      </c>
      <c r="T81" s="26" t="s">
        <v>70</v>
      </c>
      <c r="U81" s="32"/>
      <c r="V81" s="25" t="s">
        <v>4</v>
      </c>
      <c r="W81" s="26" t="s">
        <v>77</v>
      </c>
      <c r="X81" s="26" t="s">
        <v>70</v>
      </c>
      <c r="Y81" s="32"/>
      <c r="Z81" s="25" t="s">
        <v>4</v>
      </c>
      <c r="AA81" s="26" t="s">
        <v>77</v>
      </c>
      <c r="AB81" s="26" t="s">
        <v>70</v>
      </c>
      <c r="AC81" s="32"/>
      <c r="AD81" s="25" t="s">
        <v>4</v>
      </c>
      <c r="AE81" s="26" t="s">
        <v>77</v>
      </c>
      <c r="AF81" s="26" t="s">
        <v>70</v>
      </c>
      <c r="AG81" s="32"/>
      <c r="AH81" s="25" t="s">
        <v>4</v>
      </c>
      <c r="AI81" s="26" t="s">
        <v>77</v>
      </c>
      <c r="AJ81" s="26" t="s">
        <v>70</v>
      </c>
      <c r="AL81" s="25" t="s">
        <v>4</v>
      </c>
      <c r="AM81" s="26" t="s">
        <v>77</v>
      </c>
      <c r="AN81" s="26" t="s">
        <v>70</v>
      </c>
    </row>
    <row r="82" spans="1:40" x14ac:dyDescent="0.2">
      <c r="A82" s="27" t="s">
        <v>47</v>
      </c>
      <c r="B82" s="33">
        <v>0.52100000000000002</v>
      </c>
      <c r="C82" s="34">
        <v>32</v>
      </c>
      <c r="D82" s="34">
        <v>93930</v>
      </c>
      <c r="E82" s="32"/>
      <c r="F82" s="33">
        <v>0.52</v>
      </c>
      <c r="G82" s="34">
        <v>31</v>
      </c>
      <c r="H82" s="34">
        <v>90830</v>
      </c>
      <c r="I82" s="32"/>
      <c r="J82" s="33">
        <v>0.54300000000000004</v>
      </c>
      <c r="K82" s="34">
        <v>30</v>
      </c>
      <c r="L82" s="34">
        <v>87408</v>
      </c>
      <c r="M82" s="32"/>
      <c r="N82" s="33">
        <v>0.501</v>
      </c>
      <c r="O82" s="34">
        <v>28</v>
      </c>
      <c r="P82" s="34">
        <v>88473</v>
      </c>
      <c r="Q82" s="32"/>
      <c r="R82" s="33">
        <v>0.55200000000000005</v>
      </c>
      <c r="S82" s="34">
        <v>26</v>
      </c>
      <c r="T82" s="34">
        <v>90588</v>
      </c>
      <c r="U82" s="32"/>
      <c r="V82" s="33">
        <v>0.5</v>
      </c>
      <c r="W82" s="34">
        <v>27</v>
      </c>
      <c r="X82" s="34">
        <v>91732</v>
      </c>
      <c r="Y82" s="32"/>
      <c r="Z82" s="33">
        <v>0.46899999999999997</v>
      </c>
      <c r="AA82" s="34">
        <v>26</v>
      </c>
      <c r="AB82" s="34">
        <v>89735</v>
      </c>
      <c r="AC82" s="32"/>
      <c r="AD82" s="33">
        <v>0.52</v>
      </c>
      <c r="AE82" s="34">
        <v>23</v>
      </c>
      <c r="AF82" s="34">
        <v>76385</v>
      </c>
      <c r="AG82" s="32"/>
      <c r="AH82" s="33">
        <v>0.58199999999999996</v>
      </c>
      <c r="AI82" s="34">
        <v>21</v>
      </c>
      <c r="AJ82" s="34">
        <v>74453</v>
      </c>
      <c r="AL82" s="33">
        <v>0.58599999999999997</v>
      </c>
      <c r="AM82" s="34">
        <v>22</v>
      </c>
      <c r="AN82" s="34">
        <v>68045</v>
      </c>
    </row>
    <row r="83" spans="1:40" x14ac:dyDescent="0.2">
      <c r="A83" s="27"/>
      <c r="B83" s="33"/>
      <c r="C83" s="34"/>
      <c r="D83" s="34"/>
      <c r="E83" s="32"/>
      <c r="F83" s="33"/>
      <c r="G83" s="34"/>
      <c r="H83" s="34"/>
      <c r="I83" s="32"/>
      <c r="J83" s="33"/>
      <c r="K83" s="34"/>
      <c r="L83" s="34"/>
      <c r="M83" s="32"/>
      <c r="N83" s="33"/>
      <c r="O83" s="34"/>
      <c r="P83" s="34"/>
      <c r="Q83" s="32"/>
      <c r="R83" s="33"/>
      <c r="S83" s="34"/>
      <c r="T83" s="34"/>
      <c r="U83" s="32"/>
      <c r="V83" s="33"/>
      <c r="W83" s="34"/>
      <c r="X83" s="34"/>
      <c r="Y83" s="32"/>
      <c r="Z83" s="33"/>
      <c r="AA83" s="34"/>
      <c r="AB83" s="34"/>
      <c r="AC83" s="32"/>
      <c r="AD83" s="33"/>
      <c r="AE83" s="34"/>
      <c r="AF83" s="34"/>
      <c r="AG83" s="32"/>
      <c r="AH83" s="33"/>
      <c r="AI83" s="34"/>
      <c r="AJ83" s="34"/>
      <c r="AL83" s="33"/>
      <c r="AM83" s="35"/>
      <c r="AN83" s="34"/>
    </row>
    <row r="84" spans="1:40" x14ac:dyDescent="0.2">
      <c r="A84" s="27" t="s">
        <v>53</v>
      </c>
      <c r="B84" s="33">
        <v>0.52300000000000002</v>
      </c>
      <c r="C84" s="34">
        <v>7</v>
      </c>
      <c r="D84" s="34">
        <v>57877</v>
      </c>
      <c r="E84" s="32"/>
      <c r="F84" s="33">
        <v>0.504</v>
      </c>
      <c r="G84" s="34">
        <v>7</v>
      </c>
      <c r="H84" s="34">
        <v>59365</v>
      </c>
      <c r="I84" s="32"/>
      <c r="J84" s="33">
        <v>0.54400000000000004</v>
      </c>
      <c r="K84" s="34">
        <v>6</v>
      </c>
      <c r="L84" s="34">
        <v>53630</v>
      </c>
      <c r="M84" s="32"/>
      <c r="N84" s="33">
        <v>0.52300000000000002</v>
      </c>
      <c r="O84" s="34">
        <v>7</v>
      </c>
      <c r="P84" s="34">
        <v>56687</v>
      </c>
      <c r="Q84" s="32"/>
      <c r="R84" s="33">
        <v>0.52100000000000002</v>
      </c>
      <c r="S84" s="34">
        <v>7</v>
      </c>
      <c r="T84" s="34">
        <v>54343</v>
      </c>
      <c r="U84" s="32"/>
      <c r="V84" s="33">
        <v>0.46400000000000002</v>
      </c>
      <c r="W84" s="34">
        <v>6</v>
      </c>
      <c r="X84" s="34">
        <v>54808</v>
      </c>
      <c r="Y84" s="32"/>
      <c r="Z84" s="33">
        <v>0.47899999999999998</v>
      </c>
      <c r="AA84" s="34">
        <v>6</v>
      </c>
      <c r="AB84" s="34">
        <v>53320</v>
      </c>
      <c r="AC84" s="32"/>
      <c r="AD84" s="33">
        <v>0.54400000000000004</v>
      </c>
      <c r="AE84" s="34">
        <v>5</v>
      </c>
      <c r="AF84" s="34">
        <v>43245</v>
      </c>
      <c r="AG84" s="32"/>
      <c r="AH84" s="33">
        <v>0.57899999999999996</v>
      </c>
      <c r="AI84" s="34">
        <v>5</v>
      </c>
      <c r="AJ84" s="34">
        <v>43431</v>
      </c>
      <c r="AL84" s="33">
        <v>0.6</v>
      </c>
      <c r="AM84" s="34">
        <v>6</v>
      </c>
      <c r="AN84" s="34">
        <v>41199</v>
      </c>
    </row>
    <row r="85" spans="1:40" x14ac:dyDescent="0.2">
      <c r="A85" s="27" t="s">
        <v>50</v>
      </c>
      <c r="B85" s="33">
        <v>0.46800000000000003</v>
      </c>
      <c r="C85" s="34">
        <v>9</v>
      </c>
      <c r="D85" s="34">
        <v>20894</v>
      </c>
      <c r="E85" s="32"/>
      <c r="F85" s="33">
        <v>0.54300000000000004</v>
      </c>
      <c r="G85" s="34">
        <v>9</v>
      </c>
      <c r="H85" s="34">
        <v>17670</v>
      </c>
      <c r="I85" s="32"/>
      <c r="J85" s="33">
        <v>0.50700000000000001</v>
      </c>
      <c r="K85" s="34">
        <v>9</v>
      </c>
      <c r="L85" s="34">
        <v>21172</v>
      </c>
      <c r="M85" s="32"/>
      <c r="N85" s="33">
        <v>0.40500000000000003</v>
      </c>
      <c r="O85" s="34">
        <v>9</v>
      </c>
      <c r="P85" s="34">
        <v>20812</v>
      </c>
      <c r="Q85" s="32"/>
      <c r="R85" s="33">
        <v>0.60699999999999998</v>
      </c>
      <c r="S85" s="34">
        <v>9</v>
      </c>
      <c r="T85" s="34">
        <v>23248</v>
      </c>
      <c r="U85" s="32"/>
      <c r="V85" s="33">
        <v>0.55300000000000005</v>
      </c>
      <c r="W85" s="34">
        <v>9</v>
      </c>
      <c r="X85" s="34">
        <v>23137</v>
      </c>
      <c r="Y85" s="32"/>
      <c r="Z85" s="33">
        <v>0.41899999999999998</v>
      </c>
      <c r="AA85" s="34">
        <v>9</v>
      </c>
      <c r="AB85" s="34">
        <v>23116</v>
      </c>
      <c r="AC85" s="32"/>
      <c r="AD85" s="33">
        <v>0.47399999999999998</v>
      </c>
      <c r="AE85" s="34">
        <v>7</v>
      </c>
      <c r="AF85" s="34">
        <v>20326</v>
      </c>
      <c r="AG85" s="32"/>
      <c r="AH85" s="33">
        <v>0.57299999999999995</v>
      </c>
      <c r="AI85" s="34">
        <v>9</v>
      </c>
      <c r="AJ85" s="34">
        <v>24397</v>
      </c>
      <c r="AL85" s="33">
        <v>0.57399999999999995</v>
      </c>
      <c r="AM85" s="34">
        <v>10</v>
      </c>
      <c r="AN85" s="34">
        <v>20987</v>
      </c>
    </row>
    <row r="86" spans="1:40" x14ac:dyDescent="0.2">
      <c r="A86" s="27" t="s">
        <v>51</v>
      </c>
      <c r="B86" s="33">
        <v>0.59</v>
      </c>
      <c r="C86" s="34">
        <v>16</v>
      </c>
      <c r="D86" s="34">
        <v>15159</v>
      </c>
      <c r="E86" s="32"/>
      <c r="F86" s="33">
        <v>0.56399999999999995</v>
      </c>
      <c r="G86" s="34">
        <v>15</v>
      </c>
      <c r="H86" s="34">
        <v>13795</v>
      </c>
      <c r="I86" s="32"/>
      <c r="J86" s="33">
        <v>0.59699999999999998</v>
      </c>
      <c r="K86" s="34">
        <v>15</v>
      </c>
      <c r="L86" s="34">
        <v>12606</v>
      </c>
      <c r="M86" s="32"/>
      <c r="N86" s="33">
        <v>0.56799999999999995</v>
      </c>
      <c r="O86" s="34">
        <v>12</v>
      </c>
      <c r="P86" s="34">
        <v>10974</v>
      </c>
      <c r="Q86" s="32"/>
      <c r="R86" s="33">
        <v>0.58399999999999996</v>
      </c>
      <c r="S86" s="34">
        <v>10</v>
      </c>
      <c r="T86" s="34">
        <v>12997</v>
      </c>
      <c r="U86" s="32"/>
      <c r="V86" s="33">
        <v>0.55400000000000005</v>
      </c>
      <c r="W86" s="34">
        <v>12</v>
      </c>
      <c r="X86" s="34">
        <v>13787</v>
      </c>
      <c r="Y86" s="32"/>
      <c r="Z86" s="33">
        <v>0.51400000000000001</v>
      </c>
      <c r="AA86" s="34">
        <v>11</v>
      </c>
      <c r="AB86" s="34">
        <v>13299</v>
      </c>
      <c r="AC86" s="32"/>
      <c r="AD86" s="33">
        <v>0.51400000000000001</v>
      </c>
      <c r="AE86" s="34">
        <v>11</v>
      </c>
      <c r="AF86" s="34">
        <v>12814</v>
      </c>
      <c r="AG86" s="32"/>
      <c r="AH86" s="33">
        <v>0.63</v>
      </c>
      <c r="AI86" s="34">
        <v>7</v>
      </c>
      <c r="AJ86" s="34">
        <v>6625</v>
      </c>
      <c r="AL86" s="33">
        <v>0.52800000000000002</v>
      </c>
      <c r="AM86" s="34">
        <v>6</v>
      </c>
      <c r="AN86" s="34">
        <v>5859</v>
      </c>
    </row>
    <row r="87" spans="1:40" x14ac:dyDescent="0.2">
      <c r="A87" s="27"/>
      <c r="B87" s="33"/>
      <c r="C87" s="34"/>
      <c r="D87" s="34"/>
      <c r="E87" s="32"/>
      <c r="F87" s="33"/>
      <c r="G87" s="34"/>
      <c r="H87" s="34"/>
      <c r="I87" s="32"/>
      <c r="J87" s="33"/>
      <c r="K87" s="34"/>
      <c r="L87" s="34"/>
      <c r="M87" s="32"/>
      <c r="N87" s="33"/>
      <c r="O87" s="34"/>
      <c r="P87" s="34"/>
      <c r="Q87" s="32"/>
      <c r="R87" s="33"/>
      <c r="S87" s="34"/>
      <c r="T87" s="34"/>
      <c r="U87" s="32"/>
      <c r="V87" s="33"/>
      <c r="W87" s="34"/>
      <c r="X87" s="34"/>
      <c r="Y87" s="32"/>
      <c r="Z87" s="33"/>
      <c r="AA87" s="34"/>
      <c r="AB87" s="34"/>
      <c r="AC87" s="32"/>
      <c r="AD87" s="33"/>
      <c r="AE87" s="34"/>
      <c r="AF87" s="34"/>
      <c r="AG87" s="32"/>
      <c r="AH87" s="33"/>
      <c r="AI87" s="34"/>
      <c r="AJ87" s="34"/>
      <c r="AL87" s="33"/>
      <c r="AM87" s="34"/>
      <c r="AN87" s="34"/>
    </row>
    <row r="88" spans="1:40" x14ac:dyDescent="0.2">
      <c r="A88" s="27" t="s">
        <v>43</v>
      </c>
      <c r="B88" s="33">
        <v>0.53100000000000003</v>
      </c>
      <c r="C88" s="34">
        <v>7</v>
      </c>
      <c r="D88" s="34">
        <v>13981</v>
      </c>
      <c r="E88" s="32"/>
      <c r="F88" s="33">
        <v>0.60299999999999998</v>
      </c>
      <c r="G88" s="34">
        <v>7</v>
      </c>
      <c r="H88" s="34">
        <v>14198</v>
      </c>
      <c r="I88" s="32"/>
      <c r="J88" s="33">
        <v>0.6</v>
      </c>
      <c r="K88" s="34">
        <v>7</v>
      </c>
      <c r="L88" s="34">
        <v>14260</v>
      </c>
      <c r="M88" s="32"/>
      <c r="N88" s="33">
        <v>0.51300000000000001</v>
      </c>
      <c r="O88" s="34">
        <v>7</v>
      </c>
      <c r="P88" s="34">
        <v>13900</v>
      </c>
      <c r="Q88" s="32"/>
      <c r="R88" s="33">
        <v>0.55900000000000005</v>
      </c>
      <c r="S88" s="34">
        <v>7</v>
      </c>
      <c r="T88" s="34">
        <v>14156</v>
      </c>
      <c r="U88" s="32"/>
      <c r="V88" s="33">
        <v>0.47899999999999998</v>
      </c>
      <c r="W88" s="34">
        <v>7</v>
      </c>
      <c r="X88" s="34">
        <v>14116</v>
      </c>
      <c r="Y88" s="32"/>
      <c r="Z88" s="33">
        <v>0.40600000000000003</v>
      </c>
      <c r="AA88" s="34">
        <v>7</v>
      </c>
      <c r="AB88" s="34">
        <v>14188</v>
      </c>
      <c r="AC88" s="32"/>
      <c r="AD88" s="33">
        <v>0.39400000000000002</v>
      </c>
      <c r="AE88" s="34">
        <v>5</v>
      </c>
      <c r="AF88" s="34">
        <v>12080</v>
      </c>
      <c r="AG88" s="32"/>
      <c r="AH88" s="33">
        <v>0.57199999999999995</v>
      </c>
      <c r="AI88" s="34">
        <v>5</v>
      </c>
      <c r="AJ88" s="34">
        <v>12090</v>
      </c>
      <c r="AL88" s="33">
        <v>0.63900000000000001</v>
      </c>
      <c r="AM88" s="34">
        <v>7</v>
      </c>
      <c r="AN88" s="34">
        <v>12958</v>
      </c>
    </row>
    <row r="89" spans="1:40" x14ac:dyDescent="0.2">
      <c r="A89" s="27" t="s">
        <v>49</v>
      </c>
      <c r="B89" s="33">
        <v>0.51900000000000002</v>
      </c>
      <c r="C89" s="34">
        <v>20</v>
      </c>
      <c r="D89" s="34">
        <v>74214</v>
      </c>
      <c r="E89" s="32"/>
      <c r="F89" s="33">
        <v>0.50800000000000001</v>
      </c>
      <c r="G89" s="34">
        <v>19</v>
      </c>
      <c r="H89" s="34">
        <v>72168</v>
      </c>
      <c r="I89" s="32"/>
      <c r="J89" s="33">
        <v>0.53600000000000003</v>
      </c>
      <c r="K89" s="34">
        <v>18</v>
      </c>
      <c r="L89" s="34">
        <v>69738</v>
      </c>
      <c r="M89" s="32"/>
      <c r="N89" s="33">
        <v>0.503</v>
      </c>
      <c r="O89" s="34">
        <v>18</v>
      </c>
      <c r="P89" s="34">
        <v>72279</v>
      </c>
      <c r="Q89" s="32"/>
      <c r="R89" s="33">
        <v>0.55600000000000005</v>
      </c>
      <c r="S89" s="34">
        <v>17</v>
      </c>
      <c r="T89" s="34">
        <v>74572</v>
      </c>
      <c r="U89" s="32"/>
      <c r="V89" s="33">
        <v>0.503</v>
      </c>
      <c r="W89" s="34">
        <v>18</v>
      </c>
      <c r="X89" s="34">
        <v>75702</v>
      </c>
      <c r="Y89" s="32"/>
      <c r="Z89" s="33">
        <v>0.48199999999999998</v>
      </c>
      <c r="AA89" s="34">
        <v>17</v>
      </c>
      <c r="AB89" s="34">
        <v>73687</v>
      </c>
      <c r="AC89" s="32"/>
      <c r="AD89" s="33">
        <v>0.54600000000000004</v>
      </c>
      <c r="AE89" s="34">
        <v>16</v>
      </c>
      <c r="AF89" s="34">
        <v>62743</v>
      </c>
      <c r="AG89" s="32"/>
      <c r="AH89" s="33">
        <v>0.57999999999999996</v>
      </c>
      <c r="AI89" s="34">
        <v>14</v>
      </c>
      <c r="AJ89" s="34">
        <v>60503</v>
      </c>
      <c r="AL89" s="33">
        <v>0.57499999999999996</v>
      </c>
      <c r="AM89" s="34">
        <v>14</v>
      </c>
      <c r="AN89" s="34">
        <v>54653</v>
      </c>
    </row>
    <row r="90" spans="1:40" x14ac:dyDescent="0.2">
      <c r="A90" s="27" t="s">
        <v>45</v>
      </c>
      <c r="B90" s="33">
        <v>0.53200000000000003</v>
      </c>
      <c r="C90" s="34">
        <v>5</v>
      </c>
      <c r="D90" s="34">
        <v>5735</v>
      </c>
      <c r="E90" s="32"/>
      <c r="F90" s="33">
        <v>0.46200000000000002</v>
      </c>
      <c r="G90" s="34">
        <v>5</v>
      </c>
      <c r="H90" s="34">
        <v>4464</v>
      </c>
      <c r="I90" s="32"/>
      <c r="J90" s="33">
        <v>0.43099999999999999</v>
      </c>
      <c r="K90" s="34">
        <v>5</v>
      </c>
      <c r="L90" s="34">
        <v>3410</v>
      </c>
      <c r="M90" s="32"/>
      <c r="N90" s="33">
        <v>0.373</v>
      </c>
      <c r="O90" s="34">
        <v>3</v>
      </c>
      <c r="P90" s="34">
        <v>2294</v>
      </c>
      <c r="Q90" s="32"/>
      <c r="R90" s="33">
        <v>0.32800000000000001</v>
      </c>
      <c r="S90" s="34">
        <v>2</v>
      </c>
      <c r="T90" s="34">
        <v>1860</v>
      </c>
      <c r="U90" s="32"/>
      <c r="V90" s="33">
        <v>0.53200000000000003</v>
      </c>
      <c r="W90" s="34">
        <v>2</v>
      </c>
      <c r="X90" s="34">
        <v>19140</v>
      </c>
      <c r="Y90" s="32"/>
      <c r="Z90" s="33">
        <v>0.42199999999999999</v>
      </c>
      <c r="AA90" s="34">
        <v>2</v>
      </c>
      <c r="AB90" s="34">
        <v>1860</v>
      </c>
      <c r="AC90" s="32"/>
      <c r="AD90" s="33">
        <v>0.46500000000000002</v>
      </c>
      <c r="AE90" s="34">
        <v>2</v>
      </c>
      <c r="AF90" s="34">
        <v>1832</v>
      </c>
      <c r="AG90" s="32"/>
      <c r="AH90" s="33">
        <v>0.71099999999999997</v>
      </c>
      <c r="AI90" s="34">
        <v>2</v>
      </c>
      <c r="AJ90" s="34">
        <v>1860</v>
      </c>
      <c r="AL90" s="33">
        <v>0.29299999999999998</v>
      </c>
      <c r="AM90" s="34">
        <v>1</v>
      </c>
      <c r="AN90" s="34">
        <v>434</v>
      </c>
    </row>
    <row r="91" spans="1:40" x14ac:dyDescent="0.2">
      <c r="A91" s="27"/>
      <c r="B91" s="36"/>
      <c r="C91" s="37"/>
      <c r="D91" s="37"/>
      <c r="E91" s="32"/>
      <c r="F91" s="36"/>
      <c r="G91" s="37"/>
      <c r="H91" s="37"/>
    </row>
    <row r="92" spans="1:40" x14ac:dyDescent="0.2">
      <c r="A92" s="32"/>
      <c r="B92" s="101" t="s">
        <v>229</v>
      </c>
      <c r="C92" s="101"/>
      <c r="D92" s="101"/>
      <c r="E92" s="32"/>
      <c r="F92" s="101" t="s">
        <v>215</v>
      </c>
      <c r="G92" s="101"/>
      <c r="H92" s="101"/>
      <c r="I92" s="32"/>
      <c r="J92" s="101" t="s">
        <v>184</v>
      </c>
      <c r="K92" s="101"/>
      <c r="L92" s="101"/>
      <c r="M92" s="32"/>
      <c r="N92" s="101" t="s">
        <v>168</v>
      </c>
      <c r="O92" s="101"/>
      <c r="P92" s="101"/>
      <c r="Q92" s="32"/>
      <c r="R92" s="101" t="s">
        <v>153</v>
      </c>
      <c r="S92" s="101"/>
      <c r="T92" s="101"/>
      <c r="U92" s="61"/>
      <c r="V92" s="101" t="s">
        <v>135</v>
      </c>
      <c r="W92" s="101"/>
      <c r="X92" s="101"/>
      <c r="Y92" s="32"/>
      <c r="Z92" s="101" t="s">
        <v>134</v>
      </c>
      <c r="AA92" s="101"/>
      <c r="AB92" s="101"/>
      <c r="AC92" s="32"/>
      <c r="AD92" s="101" t="s">
        <v>100</v>
      </c>
      <c r="AE92" s="101"/>
      <c r="AF92" s="101"/>
      <c r="AG92" s="32"/>
      <c r="AH92" s="101" t="s">
        <v>78</v>
      </c>
      <c r="AI92" s="101"/>
      <c r="AJ92" s="101"/>
      <c r="AL92" s="101" t="s">
        <v>79</v>
      </c>
      <c r="AM92" s="101"/>
      <c r="AN92" s="101"/>
    </row>
    <row r="93" spans="1:40" ht="45" x14ac:dyDescent="0.2">
      <c r="A93" s="32"/>
      <c r="B93" s="25" t="s">
        <v>4</v>
      </c>
      <c r="C93" s="26" t="s">
        <v>77</v>
      </c>
      <c r="D93" s="26" t="s">
        <v>70</v>
      </c>
      <c r="E93" s="32"/>
      <c r="F93" s="25" t="s">
        <v>4</v>
      </c>
      <c r="G93" s="26" t="s">
        <v>77</v>
      </c>
      <c r="H93" s="26" t="s">
        <v>70</v>
      </c>
      <c r="I93" s="32"/>
      <c r="J93" s="25" t="s">
        <v>4</v>
      </c>
      <c r="K93" s="26" t="s">
        <v>77</v>
      </c>
      <c r="L93" s="26" t="s">
        <v>70</v>
      </c>
      <c r="M93" s="32"/>
      <c r="N93" s="25" t="s">
        <v>4</v>
      </c>
      <c r="O93" s="26" t="s">
        <v>77</v>
      </c>
      <c r="P93" s="26" t="s">
        <v>70</v>
      </c>
      <c r="Q93" s="32"/>
      <c r="R93" s="25" t="s">
        <v>4</v>
      </c>
      <c r="S93" s="26" t="s">
        <v>77</v>
      </c>
      <c r="T93" s="26" t="s">
        <v>70</v>
      </c>
      <c r="U93" s="32"/>
      <c r="V93" s="25" t="s">
        <v>4</v>
      </c>
      <c r="W93" s="26" t="s">
        <v>77</v>
      </c>
      <c r="X93" s="26" t="s">
        <v>70</v>
      </c>
      <c r="Y93" s="32"/>
      <c r="Z93" s="25" t="s">
        <v>4</v>
      </c>
      <c r="AA93" s="26" t="s">
        <v>77</v>
      </c>
      <c r="AB93" s="26" t="s">
        <v>70</v>
      </c>
      <c r="AC93" s="32"/>
      <c r="AD93" s="25" t="s">
        <v>4</v>
      </c>
      <c r="AE93" s="26" t="s">
        <v>77</v>
      </c>
      <c r="AF93" s="26" t="s">
        <v>70</v>
      </c>
      <c r="AG93" s="32"/>
      <c r="AH93" s="25" t="s">
        <v>4</v>
      </c>
      <c r="AI93" s="26" t="s">
        <v>77</v>
      </c>
      <c r="AJ93" s="26" t="s">
        <v>70</v>
      </c>
      <c r="AL93" s="25" t="s">
        <v>4</v>
      </c>
      <c r="AM93" s="26" t="s">
        <v>77</v>
      </c>
      <c r="AN93" s="26" t="s">
        <v>70</v>
      </c>
    </row>
    <row r="94" spans="1:40" x14ac:dyDescent="0.2">
      <c r="A94" s="27" t="s">
        <v>47</v>
      </c>
      <c r="B94" s="33">
        <v>0.504</v>
      </c>
      <c r="C94" s="34">
        <v>32</v>
      </c>
      <c r="D94" s="34">
        <v>91080</v>
      </c>
      <c r="E94" s="32"/>
      <c r="F94" s="33">
        <v>0.51800000000000002</v>
      </c>
      <c r="G94" s="34">
        <v>31</v>
      </c>
      <c r="H94" s="34">
        <v>87630</v>
      </c>
      <c r="I94" s="32"/>
      <c r="J94" s="33">
        <v>0.501</v>
      </c>
      <c r="K94" s="34">
        <v>32</v>
      </c>
      <c r="L94" s="34">
        <v>88169</v>
      </c>
      <c r="M94" s="32"/>
      <c r="N94" s="33">
        <v>0.48099999999999998</v>
      </c>
      <c r="O94" s="34">
        <v>28</v>
      </c>
      <c r="P94" s="34">
        <v>83268</v>
      </c>
      <c r="Q94" s="32"/>
      <c r="R94" s="33">
        <v>0.53700000000000003</v>
      </c>
      <c r="S94" s="34">
        <v>27</v>
      </c>
      <c r="T94" s="34">
        <v>82517</v>
      </c>
      <c r="U94" s="32"/>
      <c r="V94" s="33">
        <v>0.51200000000000001</v>
      </c>
      <c r="W94" s="34">
        <v>26</v>
      </c>
      <c r="X94" s="34">
        <v>88316</v>
      </c>
      <c r="Y94" s="32"/>
      <c r="Z94" s="33">
        <v>0.495</v>
      </c>
      <c r="AA94" s="34">
        <v>24</v>
      </c>
      <c r="AB94" s="34">
        <v>79408</v>
      </c>
      <c r="AC94" s="32"/>
      <c r="AD94" s="33">
        <v>0.505</v>
      </c>
      <c r="AE94" s="34">
        <v>24</v>
      </c>
      <c r="AF94" s="34">
        <v>74203</v>
      </c>
      <c r="AG94" s="32"/>
      <c r="AH94" s="33">
        <v>0.57299999999999995</v>
      </c>
      <c r="AI94" s="34">
        <v>22</v>
      </c>
      <c r="AJ94" s="34">
        <v>74040</v>
      </c>
      <c r="AL94" s="33">
        <v>0.57499999999999996</v>
      </c>
      <c r="AM94" s="34">
        <v>24</v>
      </c>
      <c r="AN94" s="34">
        <v>67588</v>
      </c>
    </row>
    <row r="95" spans="1:40" x14ac:dyDescent="0.2">
      <c r="A95" s="27"/>
      <c r="B95" s="33"/>
      <c r="C95" s="34"/>
      <c r="D95" s="34"/>
      <c r="E95" s="32"/>
      <c r="F95" s="33"/>
      <c r="G95" s="34"/>
      <c r="H95" s="34"/>
      <c r="I95" s="32"/>
      <c r="J95" s="33"/>
      <c r="K95" s="34"/>
      <c r="L95" s="34"/>
      <c r="M95" s="32"/>
      <c r="N95" s="33"/>
      <c r="O95" s="34"/>
      <c r="P95" s="34"/>
      <c r="Q95" s="32"/>
      <c r="R95" s="33"/>
      <c r="S95" s="34"/>
      <c r="T95" s="34"/>
      <c r="U95" s="32"/>
      <c r="V95" s="33"/>
      <c r="W95" s="34"/>
      <c r="X95" s="34"/>
      <c r="Y95" s="32"/>
      <c r="Z95" s="33"/>
      <c r="AA95" s="34"/>
      <c r="AB95" s="34"/>
      <c r="AC95" s="32"/>
      <c r="AD95" s="33"/>
      <c r="AE95" s="34"/>
      <c r="AF95" s="34"/>
      <c r="AG95" s="32"/>
      <c r="AH95" s="33"/>
      <c r="AI95" s="34"/>
      <c r="AJ95" s="34"/>
      <c r="AL95" s="33"/>
      <c r="AM95" s="35"/>
      <c r="AN95" s="34"/>
    </row>
    <row r="96" spans="1:40" x14ac:dyDescent="0.2">
      <c r="A96" s="27" t="s">
        <v>53</v>
      </c>
      <c r="B96" s="33">
        <v>0.51200000000000001</v>
      </c>
      <c r="C96" s="34">
        <v>7</v>
      </c>
      <c r="D96" s="34">
        <v>56040</v>
      </c>
      <c r="E96" s="32"/>
      <c r="F96" s="33">
        <v>0.51600000000000001</v>
      </c>
      <c r="G96" s="34">
        <v>7</v>
      </c>
      <c r="H96" s="34">
        <v>57210</v>
      </c>
      <c r="I96" s="32"/>
      <c r="J96" s="33">
        <v>0.51600000000000001</v>
      </c>
      <c r="K96" s="34">
        <v>7</v>
      </c>
      <c r="L96" s="34">
        <v>55050</v>
      </c>
      <c r="M96" s="32"/>
      <c r="N96" s="33">
        <v>0.51</v>
      </c>
      <c r="O96" s="34">
        <v>6</v>
      </c>
      <c r="P96" s="34">
        <v>51840</v>
      </c>
      <c r="Q96" s="32"/>
      <c r="R96" s="33">
        <v>0.51700000000000002</v>
      </c>
      <c r="S96" s="34">
        <v>6</v>
      </c>
      <c r="T96" s="34">
        <v>46290</v>
      </c>
      <c r="U96" s="32"/>
      <c r="V96" s="33">
        <v>0.48299999999999998</v>
      </c>
      <c r="W96" s="34">
        <v>6</v>
      </c>
      <c r="X96" s="34">
        <v>52920</v>
      </c>
      <c r="Y96" s="32"/>
      <c r="Z96" s="33">
        <v>0.52300000000000002</v>
      </c>
      <c r="AA96" s="34">
        <v>5</v>
      </c>
      <c r="AB96" s="34">
        <v>44940</v>
      </c>
      <c r="AC96" s="32"/>
      <c r="AD96" s="33">
        <v>0.54900000000000004</v>
      </c>
      <c r="AE96" s="34">
        <v>5</v>
      </c>
      <c r="AF96" s="34">
        <v>41820</v>
      </c>
      <c r="AG96" s="32"/>
      <c r="AH96" s="33">
        <v>0.56899999999999995</v>
      </c>
      <c r="AI96" s="34">
        <v>5</v>
      </c>
      <c r="AJ96" s="34">
        <v>42030</v>
      </c>
      <c r="AL96" s="33">
        <v>0.52700000000000002</v>
      </c>
      <c r="AM96" s="34">
        <v>6</v>
      </c>
      <c r="AN96" s="34">
        <v>39990</v>
      </c>
    </row>
    <row r="97" spans="1:40" x14ac:dyDescent="0.2">
      <c r="A97" s="27" t="s">
        <v>50</v>
      </c>
      <c r="B97" s="33">
        <v>0.46100000000000002</v>
      </c>
      <c r="C97" s="34">
        <v>9</v>
      </c>
      <c r="D97" s="34">
        <v>20220</v>
      </c>
      <c r="E97" s="32"/>
      <c r="F97" s="33">
        <v>0.51300000000000001</v>
      </c>
      <c r="G97" s="34">
        <v>8</v>
      </c>
      <c r="H97" s="34">
        <v>17070</v>
      </c>
      <c r="I97" s="32"/>
      <c r="J97" s="33">
        <v>0.42899999999999999</v>
      </c>
      <c r="K97" s="34">
        <v>9</v>
      </c>
      <c r="L97" s="34">
        <v>20489</v>
      </c>
      <c r="M97" s="32"/>
      <c r="N97" s="33">
        <v>0.373</v>
      </c>
      <c r="O97" s="34">
        <v>9</v>
      </c>
      <c r="P97" s="34">
        <v>20489</v>
      </c>
      <c r="Q97" s="32"/>
      <c r="R97" s="33">
        <v>0.55200000000000005</v>
      </c>
      <c r="S97" s="34">
        <v>9</v>
      </c>
      <c r="T97" s="34">
        <v>22551</v>
      </c>
      <c r="U97" s="32"/>
      <c r="V97" s="33">
        <v>0.51400000000000001</v>
      </c>
      <c r="W97" s="34">
        <v>9</v>
      </c>
      <c r="X97" s="34">
        <v>22596</v>
      </c>
      <c r="Y97" s="32"/>
      <c r="Z97" s="33">
        <v>0.40600000000000003</v>
      </c>
      <c r="AA97" s="34">
        <v>9</v>
      </c>
      <c r="AB97" s="34">
        <v>22618</v>
      </c>
      <c r="AC97" s="32"/>
      <c r="AD97" s="33">
        <v>0.42499999999999999</v>
      </c>
      <c r="AE97" s="34">
        <v>7</v>
      </c>
      <c r="AF97" s="34">
        <v>19500</v>
      </c>
      <c r="AG97" s="32"/>
      <c r="AH97" s="33">
        <v>0.56499999999999995</v>
      </c>
      <c r="AI97" s="34">
        <v>10</v>
      </c>
      <c r="AJ97" s="34">
        <v>25530</v>
      </c>
      <c r="AK97" s="3"/>
      <c r="AL97" s="33">
        <v>0.67600000000000005</v>
      </c>
      <c r="AM97" s="34">
        <v>10</v>
      </c>
      <c r="AN97" s="34">
        <v>20150</v>
      </c>
    </row>
    <row r="98" spans="1:40" x14ac:dyDescent="0.2">
      <c r="A98" s="27" t="s">
        <v>51</v>
      </c>
      <c r="B98" s="33">
        <v>0.53600000000000003</v>
      </c>
      <c r="C98" s="34">
        <v>16</v>
      </c>
      <c r="D98" s="34">
        <v>14820</v>
      </c>
      <c r="E98" s="32"/>
      <c r="F98" s="33">
        <v>0.53500000000000003</v>
      </c>
      <c r="G98" s="34">
        <v>16</v>
      </c>
      <c r="H98" s="34">
        <v>13350</v>
      </c>
      <c r="I98" s="32"/>
      <c r="J98" s="33">
        <v>0.55100000000000005</v>
      </c>
      <c r="K98" s="34">
        <v>16</v>
      </c>
      <c r="L98" s="34">
        <v>12630</v>
      </c>
      <c r="M98" s="32"/>
      <c r="N98" s="33">
        <v>0.54600000000000004</v>
      </c>
      <c r="O98" s="34">
        <v>13</v>
      </c>
      <c r="P98" s="34">
        <v>10939</v>
      </c>
      <c r="Q98" s="32"/>
      <c r="R98" s="33">
        <v>0.58099999999999996</v>
      </c>
      <c r="S98" s="34">
        <v>12</v>
      </c>
      <c r="T98" s="34">
        <v>13676</v>
      </c>
      <c r="U98" s="32"/>
      <c r="V98" s="33">
        <v>0.63</v>
      </c>
      <c r="W98" s="34">
        <v>11</v>
      </c>
      <c r="X98" s="34">
        <v>12800</v>
      </c>
      <c r="Y98" s="32"/>
      <c r="Z98" s="33">
        <v>0.55800000000000005</v>
      </c>
      <c r="AA98" s="34">
        <v>10</v>
      </c>
      <c r="AB98" s="34">
        <v>11850</v>
      </c>
      <c r="AC98" s="32"/>
      <c r="AD98" s="33">
        <v>0.48699999999999999</v>
      </c>
      <c r="AE98" s="34">
        <v>12</v>
      </c>
      <c r="AF98" s="34">
        <v>12803</v>
      </c>
      <c r="AG98" s="32"/>
      <c r="AH98" s="33">
        <v>0.63</v>
      </c>
      <c r="AI98" s="34">
        <v>7</v>
      </c>
      <c r="AJ98" s="34">
        <v>6480</v>
      </c>
      <c r="AK98" s="20"/>
      <c r="AL98" s="33">
        <v>0.55800000000000005</v>
      </c>
      <c r="AM98" s="34">
        <v>8</v>
      </c>
      <c r="AN98" s="34">
        <v>7448</v>
      </c>
    </row>
    <row r="99" spans="1:40" x14ac:dyDescent="0.2">
      <c r="A99" s="27"/>
      <c r="B99" s="33"/>
      <c r="C99" s="34"/>
      <c r="D99" s="34"/>
      <c r="E99" s="32"/>
      <c r="F99" s="33"/>
      <c r="G99" s="34"/>
      <c r="H99" s="34"/>
      <c r="I99" s="32"/>
      <c r="J99" s="33"/>
      <c r="K99" s="34"/>
      <c r="L99" s="34"/>
      <c r="M99" s="32"/>
      <c r="N99" s="33"/>
      <c r="O99" s="34"/>
      <c r="P99" s="34"/>
      <c r="Q99" s="32"/>
      <c r="R99" s="33"/>
      <c r="S99" s="34"/>
      <c r="T99" s="34"/>
      <c r="U99" s="32"/>
      <c r="V99" s="33"/>
      <c r="W99" s="34"/>
      <c r="X99" s="34"/>
      <c r="Y99" s="32"/>
      <c r="Z99" s="33"/>
      <c r="AA99" s="34"/>
      <c r="AB99" s="34"/>
      <c r="AC99" s="32"/>
      <c r="AD99" s="33"/>
      <c r="AE99" s="34"/>
      <c r="AF99" s="34"/>
      <c r="AG99" s="32"/>
      <c r="AH99" s="33"/>
      <c r="AI99" s="34"/>
      <c r="AJ99" s="34"/>
      <c r="AL99" s="33"/>
      <c r="AM99" s="34"/>
      <c r="AN99" s="34"/>
    </row>
    <row r="100" spans="1:40" x14ac:dyDescent="0.2">
      <c r="A100" s="27" t="s">
        <v>43</v>
      </c>
      <c r="B100" s="33">
        <v>0.56200000000000006</v>
      </c>
      <c r="C100" s="34">
        <v>7</v>
      </c>
      <c r="D100" s="34">
        <v>13530</v>
      </c>
      <c r="E100" s="32"/>
      <c r="F100" s="33">
        <v>0.59399999999999997</v>
      </c>
      <c r="G100" s="34">
        <v>7</v>
      </c>
      <c r="H100" s="34">
        <v>13710</v>
      </c>
      <c r="I100" s="32"/>
      <c r="J100" s="33">
        <v>0.54300000000000004</v>
      </c>
      <c r="K100" s="34">
        <v>7</v>
      </c>
      <c r="L100" s="34">
        <v>13800</v>
      </c>
      <c r="M100" s="32"/>
      <c r="N100" s="33">
        <v>0.5</v>
      </c>
      <c r="O100" s="34">
        <v>7</v>
      </c>
      <c r="P100" s="34">
        <v>13800</v>
      </c>
      <c r="Q100" s="32"/>
      <c r="R100" s="33">
        <v>0.55300000000000005</v>
      </c>
      <c r="S100" s="34">
        <v>7</v>
      </c>
      <c r="T100" s="34">
        <v>13812</v>
      </c>
      <c r="U100" s="32"/>
      <c r="V100" s="33">
        <v>0.51600000000000001</v>
      </c>
      <c r="W100" s="34">
        <v>7</v>
      </c>
      <c r="X100" s="34">
        <v>13866</v>
      </c>
      <c r="Y100" s="32"/>
      <c r="Z100" s="33">
        <v>0.46600000000000003</v>
      </c>
      <c r="AA100" s="34">
        <v>6</v>
      </c>
      <c r="AB100" s="34">
        <v>12949</v>
      </c>
      <c r="AC100" s="32"/>
      <c r="AD100" s="33">
        <v>0.38500000000000001</v>
      </c>
      <c r="AE100" s="34">
        <v>5</v>
      </c>
      <c r="AF100" s="34">
        <v>11785</v>
      </c>
      <c r="AG100" s="32"/>
      <c r="AH100" s="33">
        <v>0.63400000000000001</v>
      </c>
      <c r="AI100" s="34">
        <v>5</v>
      </c>
      <c r="AJ100" s="34">
        <v>11700</v>
      </c>
      <c r="AL100" s="33">
        <v>0.70099999999999996</v>
      </c>
      <c r="AM100" s="34">
        <v>7</v>
      </c>
      <c r="AN100" s="34">
        <v>12358</v>
      </c>
    </row>
    <row r="101" spans="1:40" x14ac:dyDescent="0.2">
      <c r="A101" s="27" t="s">
        <v>49</v>
      </c>
      <c r="B101" s="33">
        <v>0.502</v>
      </c>
      <c r="C101" s="34">
        <v>20</v>
      </c>
      <c r="D101" s="34">
        <v>72000</v>
      </c>
      <c r="E101" s="32"/>
      <c r="F101" s="33">
        <v>0.50900000000000001</v>
      </c>
      <c r="G101" s="34">
        <v>19</v>
      </c>
      <c r="H101" s="34">
        <v>69600</v>
      </c>
      <c r="I101" s="32"/>
      <c r="J101" s="33">
        <v>0.5</v>
      </c>
      <c r="K101" s="34">
        <v>20</v>
      </c>
      <c r="L101" s="34">
        <v>71069</v>
      </c>
      <c r="M101" s="32"/>
      <c r="N101" s="33">
        <v>0.48399999999999999</v>
      </c>
      <c r="O101" s="34">
        <v>18</v>
      </c>
      <c r="P101" s="34">
        <v>67248</v>
      </c>
      <c r="Q101" s="32"/>
      <c r="R101" s="33">
        <v>0.54</v>
      </c>
      <c r="S101" s="34">
        <v>18</v>
      </c>
      <c r="T101" s="34">
        <v>66905</v>
      </c>
      <c r="U101" s="32"/>
      <c r="V101" s="33">
        <v>0.51500000000000001</v>
      </c>
      <c r="W101" s="34">
        <v>17</v>
      </c>
      <c r="X101" s="34">
        <v>72650</v>
      </c>
      <c r="Y101" s="32"/>
      <c r="Z101" s="33">
        <v>0.505</v>
      </c>
      <c r="AA101" s="34">
        <v>16</v>
      </c>
      <c r="AB101" s="34">
        <v>64659</v>
      </c>
      <c r="AC101" s="32"/>
      <c r="AD101" s="33">
        <v>0.53200000000000003</v>
      </c>
      <c r="AE101" s="34">
        <v>17</v>
      </c>
      <c r="AF101" s="34">
        <v>60618</v>
      </c>
      <c r="AG101" s="32"/>
      <c r="AH101" s="33">
        <v>0.55900000000000005</v>
      </c>
      <c r="AI101" s="34">
        <v>15</v>
      </c>
      <c r="AJ101" s="34">
        <v>60540</v>
      </c>
      <c r="AL101" s="33">
        <v>0.54500000000000004</v>
      </c>
      <c r="AM101" s="34">
        <v>15</v>
      </c>
      <c r="AN101" s="34">
        <v>53430</v>
      </c>
    </row>
    <row r="102" spans="1:40" x14ac:dyDescent="0.2">
      <c r="A102" s="27" t="s">
        <v>45</v>
      </c>
      <c r="B102" s="33">
        <v>0.39600000000000002</v>
      </c>
      <c r="C102" s="34">
        <v>5</v>
      </c>
      <c r="D102" s="34">
        <v>5550</v>
      </c>
      <c r="E102" s="32"/>
      <c r="F102" s="33">
        <v>0.42</v>
      </c>
      <c r="G102" s="34">
        <v>5</v>
      </c>
      <c r="H102" s="34">
        <v>4320</v>
      </c>
      <c r="I102" s="32"/>
      <c r="J102" s="33">
        <v>0.33800000000000002</v>
      </c>
      <c r="K102" s="34">
        <v>5</v>
      </c>
      <c r="L102" s="34">
        <v>3300</v>
      </c>
      <c r="M102" s="32"/>
      <c r="N102" s="33">
        <v>0.26600000000000001</v>
      </c>
      <c r="O102" s="34">
        <v>3</v>
      </c>
      <c r="P102" s="34">
        <v>2220</v>
      </c>
      <c r="Q102" s="32"/>
      <c r="R102" s="33">
        <v>0.3</v>
      </c>
      <c r="S102" s="34">
        <v>2</v>
      </c>
      <c r="T102" s="34">
        <v>1800</v>
      </c>
      <c r="U102" s="32"/>
      <c r="V102" s="33">
        <v>0.39</v>
      </c>
      <c r="W102" s="34">
        <v>2</v>
      </c>
      <c r="X102" s="34">
        <v>1800</v>
      </c>
      <c r="Y102" s="32"/>
      <c r="Z102" s="33">
        <v>0.36</v>
      </c>
      <c r="AA102" s="34">
        <v>2</v>
      </c>
      <c r="AB102" s="34">
        <v>1800</v>
      </c>
      <c r="AC102" s="32"/>
      <c r="AD102" s="33">
        <v>0.38200000000000001</v>
      </c>
      <c r="AE102" s="34">
        <v>2</v>
      </c>
      <c r="AF102" s="34">
        <v>1800</v>
      </c>
      <c r="AG102" s="32"/>
      <c r="AH102" s="33">
        <v>0.64400000000000002</v>
      </c>
      <c r="AI102" s="34">
        <v>2</v>
      </c>
      <c r="AJ102" s="34">
        <v>1800</v>
      </c>
      <c r="AL102" s="33">
        <v>0.60199999999999998</v>
      </c>
      <c r="AM102" s="34">
        <v>2</v>
      </c>
      <c r="AN102" s="34">
        <v>1800</v>
      </c>
    </row>
    <row r="103" spans="1:40" x14ac:dyDescent="0.2">
      <c r="A103" s="27"/>
      <c r="B103" s="36"/>
      <c r="C103" s="37"/>
      <c r="D103" s="37"/>
      <c r="E103" s="32"/>
      <c r="F103" s="36"/>
      <c r="G103" s="37"/>
      <c r="H103" s="37"/>
    </row>
    <row r="104" spans="1:40" x14ac:dyDescent="0.2">
      <c r="A104" s="32"/>
      <c r="B104" s="101" t="s">
        <v>228</v>
      </c>
      <c r="C104" s="102"/>
      <c r="D104" s="102"/>
      <c r="E104" s="32"/>
      <c r="F104" s="101" t="s">
        <v>214</v>
      </c>
      <c r="G104" s="102"/>
      <c r="H104" s="102"/>
      <c r="I104" s="32"/>
      <c r="J104" s="101" t="s">
        <v>182</v>
      </c>
      <c r="K104" s="102"/>
      <c r="L104" s="102"/>
      <c r="M104" s="32"/>
      <c r="N104" s="101" t="s">
        <v>166</v>
      </c>
      <c r="O104" s="102"/>
      <c r="P104" s="102"/>
      <c r="Q104" s="32"/>
      <c r="R104" s="101" t="s">
        <v>152</v>
      </c>
      <c r="S104" s="102"/>
      <c r="T104" s="102"/>
      <c r="U104" s="32"/>
      <c r="V104" s="101" t="s">
        <v>132</v>
      </c>
      <c r="W104" s="102"/>
      <c r="X104" s="102"/>
      <c r="Y104" s="32"/>
      <c r="Z104" s="101" t="s">
        <v>133</v>
      </c>
      <c r="AA104" s="102"/>
      <c r="AB104" s="102"/>
      <c r="AC104" s="25"/>
      <c r="AD104" s="101" t="s">
        <v>98</v>
      </c>
      <c r="AE104" s="102"/>
      <c r="AF104" s="102"/>
      <c r="AG104" s="32"/>
      <c r="AH104" s="101" t="s">
        <v>75</v>
      </c>
      <c r="AI104" s="102"/>
      <c r="AJ104" s="102"/>
      <c r="AK104" s="98"/>
      <c r="AL104" s="101" t="s">
        <v>76</v>
      </c>
      <c r="AM104" s="102"/>
      <c r="AN104" s="102"/>
    </row>
    <row r="105" spans="1:40" ht="45" x14ac:dyDescent="0.2">
      <c r="A105" s="32"/>
      <c r="B105" s="25" t="s">
        <v>4</v>
      </c>
      <c r="C105" s="26" t="s">
        <v>77</v>
      </c>
      <c r="D105" s="26" t="s">
        <v>70</v>
      </c>
      <c r="E105" s="32"/>
      <c r="F105" s="25" t="s">
        <v>4</v>
      </c>
      <c r="G105" s="26" t="s">
        <v>77</v>
      </c>
      <c r="H105" s="26" t="s">
        <v>70</v>
      </c>
      <c r="I105" s="32"/>
      <c r="J105" s="25" t="s">
        <v>4</v>
      </c>
      <c r="K105" s="26" t="s">
        <v>77</v>
      </c>
      <c r="L105" s="26" t="s">
        <v>70</v>
      </c>
      <c r="M105" s="32"/>
      <c r="N105" s="25" t="s">
        <v>4</v>
      </c>
      <c r="O105" s="26" t="s">
        <v>77</v>
      </c>
      <c r="P105" s="26" t="s">
        <v>70</v>
      </c>
      <c r="Q105" s="32"/>
      <c r="R105" s="25" t="s">
        <v>4</v>
      </c>
      <c r="S105" s="26" t="s">
        <v>77</v>
      </c>
      <c r="T105" s="26" t="s">
        <v>70</v>
      </c>
      <c r="U105" s="32"/>
      <c r="V105" s="25" t="s">
        <v>4</v>
      </c>
      <c r="W105" s="26" t="s">
        <v>77</v>
      </c>
      <c r="X105" s="26" t="s">
        <v>70</v>
      </c>
      <c r="Y105" s="32"/>
      <c r="Z105" s="25" t="s">
        <v>4</v>
      </c>
      <c r="AA105" s="26" t="s">
        <v>77</v>
      </c>
      <c r="AB105" s="26" t="s">
        <v>70</v>
      </c>
      <c r="AC105" s="32"/>
      <c r="AD105" s="25" t="s">
        <v>4</v>
      </c>
      <c r="AE105" s="26" t="s">
        <v>77</v>
      </c>
      <c r="AF105" s="26" t="s">
        <v>70</v>
      </c>
      <c r="AG105" s="32"/>
      <c r="AH105" s="25" t="s">
        <v>4</v>
      </c>
      <c r="AI105" s="26" t="s">
        <v>77</v>
      </c>
      <c r="AJ105" s="26" t="s">
        <v>70</v>
      </c>
      <c r="AL105" s="25" t="s">
        <v>4</v>
      </c>
      <c r="AM105" s="26" t="s">
        <v>77</v>
      </c>
      <c r="AN105" s="26" t="s">
        <v>70</v>
      </c>
    </row>
    <row r="106" spans="1:40" x14ac:dyDescent="0.2">
      <c r="A106" s="27" t="s">
        <v>47</v>
      </c>
      <c r="B106" s="33">
        <v>0.53400000000000003</v>
      </c>
      <c r="C106" s="34">
        <v>32</v>
      </c>
      <c r="D106" s="34">
        <v>94643</v>
      </c>
      <c r="E106" s="32"/>
      <c r="F106" s="33">
        <v>0.53600000000000003</v>
      </c>
      <c r="G106" s="34">
        <v>33</v>
      </c>
      <c r="H106" s="34">
        <v>92783</v>
      </c>
      <c r="I106" s="32"/>
      <c r="J106" s="33">
        <v>0.52600000000000002</v>
      </c>
      <c r="K106" s="34">
        <v>32</v>
      </c>
      <c r="L106" s="34">
        <v>93302</v>
      </c>
      <c r="M106" s="32"/>
      <c r="N106" s="33">
        <v>0.498</v>
      </c>
      <c r="O106" s="34">
        <v>30</v>
      </c>
      <c r="P106" s="34">
        <v>88259</v>
      </c>
      <c r="Q106" s="32"/>
      <c r="R106" s="33">
        <v>0.53700000000000003</v>
      </c>
      <c r="S106" s="34">
        <v>29</v>
      </c>
      <c r="T106" s="34">
        <v>92292</v>
      </c>
      <c r="U106" s="32"/>
      <c r="V106" s="33">
        <v>0.52400000000000002</v>
      </c>
      <c r="W106" s="34">
        <v>29</v>
      </c>
      <c r="X106" s="34">
        <v>92431</v>
      </c>
      <c r="Y106" s="32"/>
      <c r="Z106" s="33">
        <v>0.52700000000000002</v>
      </c>
      <c r="AA106" s="34">
        <v>27</v>
      </c>
      <c r="AB106" s="34">
        <v>83453</v>
      </c>
      <c r="AC106" s="32"/>
      <c r="AD106" s="33">
        <v>0.55000000000000004</v>
      </c>
      <c r="AE106" s="34">
        <v>25</v>
      </c>
      <c r="AF106" s="34">
        <v>77686</v>
      </c>
      <c r="AG106" s="32"/>
      <c r="AH106" s="33">
        <v>0.63700000000000001</v>
      </c>
      <c r="AI106" s="34">
        <v>24</v>
      </c>
      <c r="AJ106" s="34">
        <v>77924</v>
      </c>
      <c r="AL106" s="33">
        <v>0.67800000000000005</v>
      </c>
      <c r="AM106" s="34">
        <v>22</v>
      </c>
      <c r="AN106" s="34">
        <v>65844</v>
      </c>
    </row>
    <row r="107" spans="1:40" x14ac:dyDescent="0.2">
      <c r="A107" s="27"/>
      <c r="B107" s="33"/>
      <c r="C107" s="34"/>
      <c r="D107" s="34"/>
      <c r="E107" s="32"/>
      <c r="F107" s="33"/>
      <c r="G107" s="34"/>
      <c r="H107" s="34"/>
      <c r="I107" s="32"/>
      <c r="J107" s="33"/>
      <c r="K107" s="34"/>
      <c r="L107" s="34"/>
      <c r="M107" s="32"/>
      <c r="N107" s="33"/>
      <c r="O107" s="34"/>
      <c r="P107" s="34"/>
      <c r="Q107" s="32"/>
      <c r="R107" s="33"/>
      <c r="S107" s="34"/>
      <c r="T107" s="34"/>
      <c r="U107" s="32"/>
      <c r="V107" s="33"/>
      <c r="W107" s="34"/>
      <c r="X107" s="34"/>
      <c r="Y107" s="32"/>
      <c r="Z107" s="33"/>
      <c r="AA107" s="34"/>
      <c r="AB107" s="34"/>
      <c r="AC107" s="32"/>
      <c r="AD107" s="33"/>
      <c r="AE107" s="34"/>
      <c r="AF107" s="34"/>
      <c r="AG107" s="32"/>
      <c r="AH107" s="33"/>
      <c r="AI107" s="34"/>
      <c r="AJ107" s="34"/>
      <c r="AL107" s="33"/>
      <c r="AM107" s="35"/>
      <c r="AN107" s="34"/>
    </row>
    <row r="108" spans="1:40" x14ac:dyDescent="0.2">
      <c r="A108" s="27" t="s">
        <v>53</v>
      </c>
      <c r="B108" s="33">
        <v>0.52200000000000002</v>
      </c>
      <c r="C108" s="34">
        <v>7</v>
      </c>
      <c r="D108" s="34">
        <v>58373</v>
      </c>
      <c r="E108" s="32"/>
      <c r="F108" s="33">
        <v>0.51300000000000001</v>
      </c>
      <c r="G108" s="34">
        <v>7</v>
      </c>
      <c r="H108" s="34">
        <v>59365</v>
      </c>
      <c r="I108" s="32"/>
      <c r="J108" s="33">
        <v>0.52100000000000002</v>
      </c>
      <c r="K108" s="34">
        <v>7</v>
      </c>
      <c r="L108" s="34">
        <v>59510</v>
      </c>
      <c r="M108" s="32"/>
      <c r="N108" s="33">
        <v>0.503</v>
      </c>
      <c r="O108" s="34">
        <v>7</v>
      </c>
      <c r="P108" s="34">
        <v>55624</v>
      </c>
      <c r="Q108" s="32"/>
      <c r="R108" s="33">
        <v>0.49099999999999999</v>
      </c>
      <c r="S108" s="34">
        <v>7</v>
      </c>
      <c r="T108" s="34">
        <v>54343</v>
      </c>
      <c r="U108" s="32"/>
      <c r="V108" s="33">
        <v>0.50229999999999997</v>
      </c>
      <c r="W108" s="34">
        <v>6</v>
      </c>
      <c r="X108" s="34">
        <v>54684</v>
      </c>
      <c r="Y108" s="32"/>
      <c r="Z108" s="33">
        <v>0.52200000000000002</v>
      </c>
      <c r="AA108" s="34">
        <v>5</v>
      </c>
      <c r="AB108" s="34">
        <v>46438</v>
      </c>
      <c r="AC108" s="32"/>
      <c r="AD108" s="33">
        <v>0.55800000000000005</v>
      </c>
      <c r="AE108" s="34">
        <v>5</v>
      </c>
      <c r="AF108" s="34">
        <v>43431</v>
      </c>
      <c r="AG108" s="32"/>
      <c r="AH108" s="33">
        <v>0.65800000000000003</v>
      </c>
      <c r="AI108" s="34">
        <v>5</v>
      </c>
      <c r="AJ108" s="34">
        <v>43431</v>
      </c>
      <c r="AL108" s="33">
        <v>0.65600000000000003</v>
      </c>
      <c r="AM108" s="34">
        <v>6</v>
      </c>
      <c r="AN108" s="34">
        <v>41199</v>
      </c>
    </row>
    <row r="109" spans="1:40" x14ac:dyDescent="0.2">
      <c r="A109" s="27" t="s">
        <v>50</v>
      </c>
      <c r="B109" s="33">
        <v>0.498</v>
      </c>
      <c r="C109" s="34">
        <v>9</v>
      </c>
      <c r="D109" s="34">
        <v>21080</v>
      </c>
      <c r="E109" s="32"/>
      <c r="F109" s="33">
        <v>0.61699999999999999</v>
      </c>
      <c r="G109" s="34">
        <v>8</v>
      </c>
      <c r="H109" s="34">
        <v>17670</v>
      </c>
      <c r="I109" s="32"/>
      <c r="J109" s="33">
        <v>0.52600000000000002</v>
      </c>
      <c r="K109" s="34">
        <v>9</v>
      </c>
      <c r="L109" s="34">
        <v>21172</v>
      </c>
      <c r="M109" s="32"/>
      <c r="N109" s="33">
        <v>0.45100000000000001</v>
      </c>
      <c r="O109" s="34">
        <v>9</v>
      </c>
      <c r="P109" s="34">
        <v>21172</v>
      </c>
      <c r="Q109" s="32"/>
      <c r="R109" s="33">
        <v>0.60199999999999998</v>
      </c>
      <c r="S109" s="34">
        <v>9</v>
      </c>
      <c r="T109" s="34">
        <v>23368</v>
      </c>
      <c r="U109" s="32"/>
      <c r="V109" s="33">
        <v>0.55500000000000005</v>
      </c>
      <c r="W109" s="34">
        <v>9</v>
      </c>
      <c r="X109" s="34">
        <v>23281</v>
      </c>
      <c r="Y109" s="32"/>
      <c r="Z109" s="33">
        <v>0.52800000000000002</v>
      </c>
      <c r="AA109" s="34">
        <v>9</v>
      </c>
      <c r="AB109" s="34">
        <v>22966</v>
      </c>
      <c r="AC109" s="32"/>
      <c r="AD109" s="33">
        <v>0.505</v>
      </c>
      <c r="AE109" s="34">
        <v>7</v>
      </c>
      <c r="AF109" s="34">
        <v>20150</v>
      </c>
      <c r="AG109" s="32"/>
      <c r="AH109" s="33">
        <v>0.60299999999999998</v>
      </c>
      <c r="AI109" s="34">
        <v>11</v>
      </c>
      <c r="AJ109" s="34">
        <v>27001</v>
      </c>
      <c r="AL109" s="33">
        <v>0.73899999999999999</v>
      </c>
      <c r="AM109" s="34">
        <v>9</v>
      </c>
      <c r="AN109" s="34">
        <v>18972</v>
      </c>
    </row>
    <row r="110" spans="1:40" x14ac:dyDescent="0.2">
      <c r="A110" s="27" t="s">
        <v>51</v>
      </c>
      <c r="B110" s="33">
        <v>0.63100000000000001</v>
      </c>
      <c r="C110" s="34">
        <v>16</v>
      </c>
      <c r="D110" s="34">
        <v>15190</v>
      </c>
      <c r="E110" s="32"/>
      <c r="F110" s="33">
        <v>0.53400000000000003</v>
      </c>
      <c r="G110" s="34">
        <v>18</v>
      </c>
      <c r="H110" s="34">
        <v>15748</v>
      </c>
      <c r="I110" s="32"/>
      <c r="J110" s="33">
        <v>0.55100000000000005</v>
      </c>
      <c r="K110" s="34">
        <v>16</v>
      </c>
      <c r="L110" s="34">
        <v>12620</v>
      </c>
      <c r="M110" s="32"/>
      <c r="N110" s="33">
        <v>0.55900000000000005</v>
      </c>
      <c r="O110" s="34">
        <v>14</v>
      </c>
      <c r="P110" s="34">
        <v>11463</v>
      </c>
      <c r="Q110" s="32"/>
      <c r="R110" s="33">
        <v>0.60799999999999998</v>
      </c>
      <c r="S110" s="34">
        <v>13</v>
      </c>
      <c r="T110" s="34">
        <v>14581</v>
      </c>
      <c r="U110" s="32"/>
      <c r="V110" s="33">
        <v>0.55000000000000004</v>
      </c>
      <c r="W110" s="34">
        <v>14</v>
      </c>
      <c r="X110" s="34">
        <v>14466</v>
      </c>
      <c r="Y110" s="32"/>
      <c r="Z110" s="33">
        <v>0.54300000000000004</v>
      </c>
      <c r="AA110" s="34">
        <v>12</v>
      </c>
      <c r="AB110" s="34">
        <v>14049</v>
      </c>
      <c r="AC110" s="32"/>
      <c r="AD110" s="33">
        <v>0.59299999999999997</v>
      </c>
      <c r="AE110" s="34">
        <v>13</v>
      </c>
      <c r="AF110" s="34">
        <v>14105</v>
      </c>
      <c r="AG110" s="32"/>
      <c r="AH110" s="33">
        <v>0.63300000000000001</v>
      </c>
      <c r="AI110" s="34">
        <v>8</v>
      </c>
      <c r="AJ110" s="34">
        <v>7492</v>
      </c>
      <c r="AL110" s="33">
        <v>0.63300000000000001</v>
      </c>
      <c r="AM110" s="34">
        <v>7</v>
      </c>
      <c r="AN110" s="34">
        <v>5673</v>
      </c>
    </row>
    <row r="111" spans="1:40" x14ac:dyDescent="0.2">
      <c r="A111" s="27"/>
      <c r="B111" s="33"/>
      <c r="C111" s="34"/>
      <c r="D111" s="34"/>
      <c r="E111" s="32"/>
      <c r="F111" s="33"/>
      <c r="G111" s="34"/>
      <c r="H111" s="34"/>
      <c r="I111" s="32"/>
      <c r="J111" s="33"/>
      <c r="K111" s="34"/>
      <c r="L111" s="34"/>
      <c r="M111" s="32"/>
      <c r="N111" s="33"/>
      <c r="O111" s="34"/>
      <c r="P111" s="34"/>
      <c r="Q111" s="32"/>
      <c r="R111" s="33"/>
      <c r="S111" s="34"/>
      <c r="T111" s="34"/>
      <c r="U111" s="32"/>
      <c r="V111" s="33"/>
      <c r="W111" s="34"/>
      <c r="X111" s="34"/>
      <c r="Y111" s="32"/>
      <c r="Z111" s="33"/>
      <c r="AA111" s="34"/>
      <c r="AB111" s="34"/>
      <c r="AC111" s="32"/>
      <c r="AD111" s="33"/>
      <c r="AE111" s="34"/>
      <c r="AF111" s="34"/>
      <c r="AG111" s="32"/>
      <c r="AH111" s="33"/>
      <c r="AI111" s="34"/>
      <c r="AJ111" s="34"/>
      <c r="AL111" s="33"/>
      <c r="AM111" s="34"/>
      <c r="AN111" s="34"/>
    </row>
    <row r="112" spans="1:40" x14ac:dyDescent="0.2">
      <c r="A112" s="27" t="s">
        <v>43</v>
      </c>
      <c r="B112" s="33">
        <v>0.60499999999999998</v>
      </c>
      <c r="C112" s="34">
        <v>7</v>
      </c>
      <c r="D112" s="34">
        <v>14167</v>
      </c>
      <c r="E112" s="32"/>
      <c r="F112" s="33">
        <v>0.69799999999999995</v>
      </c>
      <c r="G112" s="34">
        <v>7</v>
      </c>
      <c r="H112" s="34">
        <v>14198</v>
      </c>
      <c r="I112" s="32"/>
      <c r="J112" s="33">
        <v>0.65500000000000003</v>
      </c>
      <c r="K112" s="34">
        <v>7</v>
      </c>
      <c r="L112" s="34">
        <v>14260</v>
      </c>
      <c r="M112" s="32"/>
      <c r="N112" s="33">
        <v>0.57699999999999996</v>
      </c>
      <c r="O112" s="34">
        <v>7</v>
      </c>
      <c r="P112" s="34">
        <v>14260</v>
      </c>
      <c r="Q112" s="32"/>
      <c r="R112" s="33">
        <v>0.64300000000000002</v>
      </c>
      <c r="S112" s="34">
        <v>7</v>
      </c>
      <c r="T112" s="34">
        <v>14316</v>
      </c>
      <c r="U112" s="32"/>
      <c r="V112" s="33">
        <v>0.59299999999999997</v>
      </c>
      <c r="W112" s="34">
        <v>7</v>
      </c>
      <c r="X112" s="34">
        <v>14260</v>
      </c>
      <c r="Y112" s="32"/>
      <c r="Z112" s="33">
        <v>0.53600000000000003</v>
      </c>
      <c r="AA112" s="34">
        <v>7</v>
      </c>
      <c r="AB112" s="34">
        <v>14038</v>
      </c>
      <c r="AC112" s="32"/>
      <c r="AD112" s="33">
        <v>0.47899999999999998</v>
      </c>
      <c r="AE112" s="34">
        <v>6</v>
      </c>
      <c r="AF112" s="34">
        <v>13206</v>
      </c>
      <c r="AG112" s="32"/>
      <c r="AH112" s="33">
        <v>0.67600000000000005</v>
      </c>
      <c r="AI112" s="34">
        <v>6</v>
      </c>
      <c r="AJ112" s="34">
        <v>13330</v>
      </c>
      <c r="AL112" s="33">
        <v>0.74099999999999999</v>
      </c>
      <c r="AM112" s="34">
        <v>7</v>
      </c>
      <c r="AN112" s="34">
        <v>12927</v>
      </c>
    </row>
    <row r="113" spans="1:40" x14ac:dyDescent="0.2">
      <c r="A113" s="27" t="s">
        <v>49</v>
      </c>
      <c r="B113" s="33">
        <v>0.52100000000000002</v>
      </c>
      <c r="C113" s="34">
        <v>20</v>
      </c>
      <c r="D113" s="34">
        <v>74741</v>
      </c>
      <c r="E113" s="32"/>
      <c r="F113" s="33">
        <v>0.50800000000000001</v>
      </c>
      <c r="G113" s="34">
        <v>21</v>
      </c>
      <c r="H113" s="34">
        <v>74030</v>
      </c>
      <c r="I113" s="32"/>
      <c r="J113" s="33">
        <v>0.50900000000000001</v>
      </c>
      <c r="K113" s="34">
        <v>20</v>
      </c>
      <c r="L113" s="34">
        <v>75632</v>
      </c>
      <c r="M113" s="32"/>
      <c r="N113" s="33">
        <v>0.48899999999999999</v>
      </c>
      <c r="O113" s="34">
        <v>20</v>
      </c>
      <c r="P113" s="34">
        <v>71705</v>
      </c>
      <c r="Q113" s="32"/>
      <c r="R113" s="33">
        <v>0.52300000000000002</v>
      </c>
      <c r="S113" s="34">
        <v>20</v>
      </c>
      <c r="T113" s="34">
        <v>76116</v>
      </c>
      <c r="U113" s="32"/>
      <c r="V113" s="33">
        <v>0.51900000000000002</v>
      </c>
      <c r="W113" s="34">
        <v>20</v>
      </c>
      <c r="X113" s="34">
        <v>76257</v>
      </c>
      <c r="Y113" s="32"/>
      <c r="Z113" s="33">
        <v>0.53100000000000003</v>
      </c>
      <c r="AA113" s="34">
        <v>18</v>
      </c>
      <c r="AB113" s="34">
        <v>67555</v>
      </c>
      <c r="AC113" s="32"/>
      <c r="AD113" s="33">
        <v>0.56899999999999995</v>
      </c>
      <c r="AE113" s="34">
        <v>17</v>
      </c>
      <c r="AF113" s="34">
        <v>62620</v>
      </c>
      <c r="AG113" s="32"/>
      <c r="AH113" s="33">
        <v>0.63</v>
      </c>
      <c r="AI113" s="34">
        <v>16</v>
      </c>
      <c r="AJ113" s="34">
        <v>62734</v>
      </c>
      <c r="AL113" s="33">
        <v>0.66300000000000003</v>
      </c>
      <c r="AM113" s="34">
        <v>14</v>
      </c>
      <c r="AN113" s="34">
        <v>52483</v>
      </c>
    </row>
    <row r="114" spans="1:40" x14ac:dyDescent="0.2">
      <c r="A114" s="27" t="s">
        <v>45</v>
      </c>
      <c r="B114" s="33">
        <v>0.52300000000000002</v>
      </c>
      <c r="C114" s="34">
        <v>5</v>
      </c>
      <c r="D114" s="34">
        <v>5735</v>
      </c>
      <c r="E114" s="32"/>
      <c r="F114" s="33">
        <v>0.498</v>
      </c>
      <c r="G114" s="34">
        <v>5</v>
      </c>
      <c r="H114" s="34">
        <v>4555</v>
      </c>
      <c r="I114" s="32"/>
      <c r="J114" s="33">
        <v>0.36</v>
      </c>
      <c r="K114" s="34">
        <v>5</v>
      </c>
      <c r="L114" s="34">
        <v>3410</v>
      </c>
      <c r="M114" s="32"/>
      <c r="N114" s="33">
        <v>0.27600000000000002</v>
      </c>
      <c r="O114" s="34">
        <v>3</v>
      </c>
      <c r="P114" s="34">
        <v>2294</v>
      </c>
      <c r="Q114" s="32"/>
      <c r="R114" s="33">
        <v>0.33</v>
      </c>
      <c r="S114" s="34">
        <v>2</v>
      </c>
      <c r="T114" s="34">
        <v>1860</v>
      </c>
      <c r="U114" s="32"/>
      <c r="V114" s="33">
        <v>0.22500000000000001</v>
      </c>
      <c r="W114" s="34">
        <v>2</v>
      </c>
      <c r="X114" s="34">
        <v>1914</v>
      </c>
      <c r="Y114" s="32"/>
      <c r="Z114" s="33">
        <v>0.34</v>
      </c>
      <c r="AA114" s="34">
        <v>2</v>
      </c>
      <c r="AB114" s="34">
        <v>1860</v>
      </c>
      <c r="AC114" s="32"/>
      <c r="AD114" s="33">
        <v>0.436</v>
      </c>
      <c r="AE114" s="34">
        <v>2</v>
      </c>
      <c r="AF114" s="34">
        <v>1860</v>
      </c>
      <c r="AG114" s="32"/>
      <c r="AH114" s="33">
        <v>0.56699999999999995</v>
      </c>
      <c r="AI114" s="34">
        <v>2</v>
      </c>
      <c r="AJ114" s="34">
        <v>1860</v>
      </c>
      <c r="AL114" s="33">
        <v>0.53</v>
      </c>
      <c r="AM114" s="34">
        <v>1</v>
      </c>
      <c r="AN114" s="34">
        <v>434</v>
      </c>
    </row>
    <row r="115" spans="1:40" x14ac:dyDescent="0.2">
      <c r="A115" s="27"/>
      <c r="B115" s="36"/>
      <c r="C115" s="37"/>
      <c r="D115" s="37"/>
      <c r="E115" s="32"/>
      <c r="F115" s="36"/>
      <c r="G115" s="37"/>
      <c r="H115" s="37"/>
    </row>
    <row r="116" spans="1:40" x14ac:dyDescent="0.2">
      <c r="A116" s="32"/>
      <c r="B116" s="101" t="s">
        <v>227</v>
      </c>
      <c r="C116" s="102"/>
      <c r="D116" s="102"/>
      <c r="E116" s="32"/>
      <c r="F116" s="101" t="s">
        <v>212</v>
      </c>
      <c r="G116" s="102"/>
      <c r="H116" s="102"/>
      <c r="I116" s="32"/>
      <c r="J116" s="101" t="s">
        <v>181</v>
      </c>
      <c r="K116" s="102"/>
      <c r="L116" s="102"/>
      <c r="M116" s="32"/>
      <c r="N116" s="101" t="s">
        <v>165</v>
      </c>
      <c r="O116" s="102"/>
      <c r="P116" s="102"/>
      <c r="Q116" s="32"/>
      <c r="R116" s="101" t="s">
        <v>151</v>
      </c>
      <c r="S116" s="102"/>
      <c r="T116" s="102"/>
      <c r="U116" s="32"/>
      <c r="V116" s="101" t="s">
        <v>130</v>
      </c>
      <c r="W116" s="102"/>
      <c r="X116" s="102"/>
      <c r="Y116" s="32"/>
      <c r="Z116" s="101" t="s">
        <v>131</v>
      </c>
      <c r="AA116" s="102"/>
      <c r="AB116" s="102"/>
      <c r="AC116" s="32"/>
      <c r="AD116" s="101" t="s">
        <v>99</v>
      </c>
      <c r="AE116" s="102"/>
      <c r="AF116" s="102"/>
      <c r="AG116" s="32"/>
      <c r="AH116" s="101" t="s">
        <v>73</v>
      </c>
      <c r="AI116" s="102"/>
      <c r="AJ116" s="102"/>
      <c r="AL116" s="101" t="s">
        <v>74</v>
      </c>
      <c r="AM116" s="102"/>
      <c r="AN116" s="102"/>
    </row>
    <row r="117" spans="1:40" ht="45" x14ac:dyDescent="0.2">
      <c r="A117" s="32"/>
      <c r="B117" s="25" t="s">
        <v>4</v>
      </c>
      <c r="C117" s="26" t="s">
        <v>77</v>
      </c>
      <c r="D117" s="26" t="s">
        <v>70</v>
      </c>
      <c r="E117" s="32"/>
      <c r="F117" s="25" t="s">
        <v>4</v>
      </c>
      <c r="G117" s="26" t="s">
        <v>77</v>
      </c>
      <c r="H117" s="26" t="s">
        <v>70</v>
      </c>
      <c r="I117" s="32"/>
      <c r="J117" s="25" t="s">
        <v>4</v>
      </c>
      <c r="K117" s="26" t="s">
        <v>77</v>
      </c>
      <c r="L117" s="26" t="s">
        <v>70</v>
      </c>
      <c r="M117" s="32"/>
      <c r="N117" s="25" t="s">
        <v>4</v>
      </c>
      <c r="O117" s="26" t="s">
        <v>77</v>
      </c>
      <c r="P117" s="26" t="s">
        <v>70</v>
      </c>
      <c r="Q117" s="32"/>
      <c r="R117" s="25" t="s">
        <v>4</v>
      </c>
      <c r="S117" s="26" t="s">
        <v>77</v>
      </c>
      <c r="T117" s="26" t="s">
        <v>70</v>
      </c>
      <c r="U117" s="32"/>
      <c r="V117" s="25" t="s">
        <v>4</v>
      </c>
      <c r="W117" s="26" t="s">
        <v>77</v>
      </c>
      <c r="X117" s="26" t="s">
        <v>70</v>
      </c>
      <c r="Y117" s="32"/>
      <c r="Z117" s="25" t="s">
        <v>4</v>
      </c>
      <c r="AA117" s="26" t="s">
        <v>77</v>
      </c>
      <c r="AB117" s="26" t="s">
        <v>70</v>
      </c>
      <c r="AC117" s="32"/>
      <c r="AD117" s="25" t="s">
        <v>4</v>
      </c>
      <c r="AE117" s="26" t="s">
        <v>77</v>
      </c>
      <c r="AF117" s="26" t="s">
        <v>70</v>
      </c>
      <c r="AG117" s="32"/>
      <c r="AH117" s="25" t="s">
        <v>4</v>
      </c>
      <c r="AI117" s="26" t="s">
        <v>77</v>
      </c>
      <c r="AJ117" s="26" t="s">
        <v>70</v>
      </c>
      <c r="AL117" s="25" t="s">
        <v>4</v>
      </c>
      <c r="AM117" s="26" t="s">
        <v>77</v>
      </c>
      <c r="AN117" s="26" t="s">
        <v>70</v>
      </c>
    </row>
    <row r="118" spans="1:40" x14ac:dyDescent="0.2">
      <c r="A118" s="27" t="s">
        <v>47</v>
      </c>
      <c r="B118" s="33">
        <v>0.57999999999999996</v>
      </c>
      <c r="C118" s="34">
        <v>33</v>
      </c>
      <c r="D118" s="34">
        <v>92910</v>
      </c>
      <c r="E118" s="32"/>
      <c r="F118" s="33">
        <v>0.59399999999999997</v>
      </c>
      <c r="G118" s="34">
        <v>34</v>
      </c>
      <c r="H118" s="34">
        <v>92895</v>
      </c>
      <c r="I118" s="32"/>
      <c r="J118" s="33">
        <v>0.56499999999999995</v>
      </c>
      <c r="K118" s="34">
        <v>32</v>
      </c>
      <c r="L118" s="34">
        <v>91403</v>
      </c>
      <c r="M118" s="32"/>
      <c r="N118" s="33">
        <v>0.61099999999999999</v>
      </c>
      <c r="O118" s="34">
        <v>30</v>
      </c>
      <c r="P118" s="34">
        <v>90258</v>
      </c>
      <c r="Q118" s="32"/>
      <c r="R118" s="33">
        <v>0.63800000000000001</v>
      </c>
      <c r="S118" s="34">
        <v>29</v>
      </c>
      <c r="T118" s="34">
        <v>89830</v>
      </c>
      <c r="U118" s="32"/>
      <c r="V118" s="33">
        <v>0.61</v>
      </c>
      <c r="W118" s="34">
        <v>28</v>
      </c>
      <c r="X118" s="34">
        <v>89687</v>
      </c>
      <c r="Y118" s="32"/>
      <c r="Z118" s="33">
        <v>0.58399999999999996</v>
      </c>
      <c r="AA118" s="34">
        <v>30</v>
      </c>
      <c r="AB118" s="34">
        <v>89559</v>
      </c>
      <c r="AC118" s="32"/>
      <c r="AD118" s="33">
        <v>0.60299999999999998</v>
      </c>
      <c r="AE118" s="34">
        <v>24</v>
      </c>
      <c r="AF118" s="34">
        <v>74748</v>
      </c>
      <c r="AG118" s="32"/>
      <c r="AH118" s="33">
        <v>0.72399999999999998</v>
      </c>
      <c r="AI118" s="34">
        <v>26</v>
      </c>
      <c r="AJ118" s="34">
        <v>79500</v>
      </c>
      <c r="AL118" s="33">
        <v>0.69499999999999995</v>
      </c>
      <c r="AM118" s="34">
        <v>25</v>
      </c>
      <c r="AN118" s="34">
        <v>66126</v>
      </c>
    </row>
    <row r="119" spans="1:40" x14ac:dyDescent="0.2">
      <c r="A119" s="27"/>
      <c r="B119" s="33"/>
      <c r="C119" s="34"/>
      <c r="D119" s="34"/>
      <c r="E119" s="32"/>
      <c r="F119" s="33"/>
      <c r="G119" s="34"/>
      <c r="H119" s="34"/>
      <c r="I119" s="32"/>
      <c r="J119" s="33"/>
      <c r="K119" s="34"/>
      <c r="L119" s="34"/>
      <c r="M119" s="32"/>
      <c r="N119" s="33"/>
      <c r="O119" s="34"/>
      <c r="P119" s="34"/>
      <c r="Q119" s="32"/>
      <c r="R119" s="33"/>
      <c r="S119" s="34"/>
      <c r="T119" s="34"/>
      <c r="U119" s="32"/>
      <c r="V119" s="33"/>
      <c r="W119" s="34"/>
      <c r="X119" s="34"/>
      <c r="Y119" s="32"/>
      <c r="Z119" s="33"/>
      <c r="AA119" s="34"/>
      <c r="AB119" s="34"/>
      <c r="AC119" s="32"/>
      <c r="AD119" s="33"/>
      <c r="AE119" s="34"/>
      <c r="AF119" s="34"/>
      <c r="AG119" s="32"/>
      <c r="AH119" s="33"/>
      <c r="AI119" s="34"/>
      <c r="AJ119" s="34"/>
      <c r="AL119" s="33"/>
      <c r="AM119" s="35"/>
      <c r="AN119" s="34"/>
    </row>
    <row r="120" spans="1:40" x14ac:dyDescent="0.2">
      <c r="A120" s="27" t="s">
        <v>53</v>
      </c>
      <c r="B120" s="33">
        <v>0.54800000000000004</v>
      </c>
      <c r="C120" s="34">
        <v>7</v>
      </c>
      <c r="D120" s="34">
        <v>57120</v>
      </c>
      <c r="E120" s="32"/>
      <c r="F120" s="33">
        <v>0.56100000000000005</v>
      </c>
      <c r="G120" s="34">
        <v>7</v>
      </c>
      <c r="H120" s="34">
        <v>57210</v>
      </c>
      <c r="I120" s="32"/>
      <c r="J120" s="33">
        <v>0.54200000000000004</v>
      </c>
      <c r="K120" s="34">
        <v>7</v>
      </c>
      <c r="L120" s="34">
        <v>58200</v>
      </c>
      <c r="M120" s="32"/>
      <c r="N120" s="33">
        <v>0.63400000000000001</v>
      </c>
      <c r="O120" s="34">
        <v>7</v>
      </c>
      <c r="P120" s="34">
        <v>58140</v>
      </c>
      <c r="Q120" s="32"/>
      <c r="R120" s="33">
        <v>0.62</v>
      </c>
      <c r="S120" s="34">
        <v>7</v>
      </c>
      <c r="T120" s="34">
        <v>52710</v>
      </c>
      <c r="U120" s="32"/>
      <c r="V120" s="33">
        <v>0.59799999999999998</v>
      </c>
      <c r="W120" s="34">
        <v>6</v>
      </c>
      <c r="X120" s="34">
        <v>52830</v>
      </c>
      <c r="Y120" s="32"/>
      <c r="Z120" s="33">
        <v>0.59199999999999997</v>
      </c>
      <c r="AA120" s="34">
        <v>6</v>
      </c>
      <c r="AB120" s="34">
        <v>51668</v>
      </c>
      <c r="AC120" s="32"/>
      <c r="AD120" s="33">
        <v>0.64500000000000002</v>
      </c>
      <c r="AE120" s="34">
        <v>5</v>
      </c>
      <c r="AF120" s="34">
        <v>42030</v>
      </c>
      <c r="AG120" s="32"/>
      <c r="AH120" s="33">
        <v>0.75</v>
      </c>
      <c r="AI120" s="34">
        <v>6</v>
      </c>
      <c r="AJ120" s="34">
        <v>45750</v>
      </c>
      <c r="AL120" s="33">
        <v>0.66400000000000003</v>
      </c>
      <c r="AM120" s="34">
        <v>6</v>
      </c>
      <c r="AN120" s="34">
        <v>40170</v>
      </c>
    </row>
    <row r="121" spans="1:40" x14ac:dyDescent="0.2">
      <c r="A121" s="27" t="s">
        <v>50</v>
      </c>
      <c r="B121" s="33">
        <v>0.58699999999999997</v>
      </c>
      <c r="C121" s="34">
        <v>9</v>
      </c>
      <c r="D121" s="34">
        <v>20400</v>
      </c>
      <c r="E121" s="32"/>
      <c r="F121" s="33">
        <v>0.61799999999999999</v>
      </c>
      <c r="G121" s="34">
        <v>9</v>
      </c>
      <c r="H121" s="34">
        <v>20400</v>
      </c>
      <c r="I121" s="32"/>
      <c r="J121" s="33">
        <v>0.58099999999999996</v>
      </c>
      <c r="K121" s="34">
        <v>9</v>
      </c>
      <c r="L121" s="34">
        <v>20489</v>
      </c>
      <c r="M121" s="32"/>
      <c r="N121" s="33">
        <v>0.56200000000000006</v>
      </c>
      <c r="O121" s="34">
        <v>9</v>
      </c>
      <c r="P121" s="34">
        <v>20489</v>
      </c>
      <c r="Q121" s="32"/>
      <c r="R121" s="33">
        <v>0.70099999999999996</v>
      </c>
      <c r="S121" s="34">
        <v>9</v>
      </c>
      <c r="T121" s="34">
        <v>22570</v>
      </c>
      <c r="U121" s="32"/>
      <c r="V121" s="33">
        <v>0.62</v>
      </c>
      <c r="W121" s="34">
        <v>9</v>
      </c>
      <c r="X121" s="34">
        <v>22697</v>
      </c>
      <c r="Y121" s="32"/>
      <c r="Z121" s="33">
        <v>0.56999999999999995</v>
      </c>
      <c r="AA121" s="34">
        <v>9</v>
      </c>
      <c r="AB121" s="34">
        <v>22621</v>
      </c>
      <c r="AC121" s="32"/>
      <c r="AD121" s="33">
        <v>0.53800000000000003</v>
      </c>
      <c r="AE121" s="34">
        <v>7</v>
      </c>
      <c r="AF121" s="34">
        <v>19464</v>
      </c>
      <c r="AG121" s="32"/>
      <c r="AH121" s="33">
        <v>0.68500000000000005</v>
      </c>
      <c r="AI121" s="34">
        <v>11</v>
      </c>
      <c r="AJ121" s="34">
        <v>26250</v>
      </c>
      <c r="AL121" s="33">
        <v>0.77400000000000002</v>
      </c>
      <c r="AM121" s="34">
        <v>9</v>
      </c>
      <c r="AN121" s="34">
        <v>17990</v>
      </c>
    </row>
    <row r="122" spans="1:40" x14ac:dyDescent="0.2">
      <c r="A122" s="27" t="s">
        <v>51</v>
      </c>
      <c r="B122" s="33">
        <v>0.68799999999999994</v>
      </c>
      <c r="C122" s="34">
        <v>17</v>
      </c>
      <c r="D122" s="34">
        <v>15390</v>
      </c>
      <c r="E122" s="32"/>
      <c r="F122" s="33">
        <v>0.68600000000000005</v>
      </c>
      <c r="G122" s="34">
        <v>18</v>
      </c>
      <c r="H122" s="34">
        <v>15285</v>
      </c>
      <c r="I122" s="32"/>
      <c r="J122" s="33">
        <v>0.64500000000000002</v>
      </c>
      <c r="K122" s="34">
        <v>16</v>
      </c>
      <c r="L122" s="34">
        <v>12714</v>
      </c>
      <c r="M122" s="32"/>
      <c r="N122" s="33">
        <v>0.57699999999999996</v>
      </c>
      <c r="O122" s="34">
        <v>14</v>
      </c>
      <c r="P122" s="34">
        <v>11629</v>
      </c>
      <c r="Q122" s="32"/>
      <c r="R122" s="33">
        <v>0.60699999999999998</v>
      </c>
      <c r="S122" s="34">
        <v>13</v>
      </c>
      <c r="T122" s="34">
        <v>14550</v>
      </c>
      <c r="U122" s="32"/>
      <c r="V122" s="33">
        <v>0.63800000000000001</v>
      </c>
      <c r="W122" s="34">
        <v>13</v>
      </c>
      <c r="X122" s="34">
        <v>14160</v>
      </c>
      <c r="Y122" s="32"/>
      <c r="Z122" s="33">
        <v>0.57299999999999995</v>
      </c>
      <c r="AA122" s="34">
        <v>15</v>
      </c>
      <c r="AB122" s="34">
        <v>15270</v>
      </c>
      <c r="AC122" s="32"/>
      <c r="AD122" s="33">
        <v>0.56499999999999995</v>
      </c>
      <c r="AE122" s="34">
        <v>12</v>
      </c>
      <c r="AF122" s="34">
        <v>13254</v>
      </c>
      <c r="AG122" s="32"/>
      <c r="AH122" s="33">
        <v>0.70299999999999996</v>
      </c>
      <c r="AI122" s="34">
        <v>9</v>
      </c>
      <c r="AJ122" s="34">
        <v>7500</v>
      </c>
      <c r="AL122" s="33">
        <v>0.67500000000000004</v>
      </c>
      <c r="AM122" s="34">
        <v>10</v>
      </c>
      <c r="AN122" s="34">
        <v>7966</v>
      </c>
    </row>
    <row r="123" spans="1:40" x14ac:dyDescent="0.2">
      <c r="A123" s="27"/>
      <c r="B123" s="33"/>
      <c r="C123" s="34"/>
      <c r="D123" s="34"/>
      <c r="E123" s="32"/>
      <c r="F123" s="33"/>
      <c r="G123" s="34"/>
      <c r="H123" s="34"/>
      <c r="I123" s="32"/>
      <c r="J123" s="33"/>
      <c r="K123" s="34"/>
      <c r="L123" s="34"/>
      <c r="M123" s="32"/>
      <c r="N123" s="33"/>
      <c r="O123" s="34"/>
      <c r="P123" s="34"/>
      <c r="Q123" s="32"/>
      <c r="R123" s="33"/>
      <c r="S123" s="34"/>
      <c r="T123" s="34"/>
      <c r="U123" s="32"/>
      <c r="V123" s="33"/>
      <c r="W123" s="34"/>
      <c r="X123" s="34"/>
      <c r="Y123" s="32"/>
      <c r="Z123" s="33"/>
      <c r="AA123" s="34"/>
      <c r="AB123" s="34"/>
      <c r="AC123" s="32"/>
      <c r="AD123" s="33"/>
      <c r="AE123" s="34"/>
      <c r="AF123" s="34"/>
      <c r="AG123" s="32"/>
      <c r="AH123" s="33"/>
      <c r="AI123" s="34"/>
      <c r="AJ123" s="34"/>
      <c r="AL123" s="33"/>
      <c r="AM123" s="34"/>
      <c r="AN123" s="34"/>
    </row>
    <row r="124" spans="1:40" x14ac:dyDescent="0.2">
      <c r="A124" s="27" t="s">
        <v>43</v>
      </c>
      <c r="B124" s="33">
        <v>0.72299999999999998</v>
      </c>
      <c r="C124" s="34">
        <v>7</v>
      </c>
      <c r="D124" s="34">
        <v>13710</v>
      </c>
      <c r="E124" s="32"/>
      <c r="F124" s="33">
        <v>0.71099999999999997</v>
      </c>
      <c r="G124" s="34">
        <v>7</v>
      </c>
      <c r="H124" s="34">
        <v>13710</v>
      </c>
      <c r="I124" s="32"/>
      <c r="J124" s="33">
        <v>0.69899999999999995</v>
      </c>
      <c r="K124" s="34">
        <v>7</v>
      </c>
      <c r="L124" s="34">
        <v>13800</v>
      </c>
      <c r="M124" s="32"/>
      <c r="N124" s="33">
        <v>0.69399999999999995</v>
      </c>
      <c r="O124" s="34">
        <v>7</v>
      </c>
      <c r="P124" s="34">
        <v>13800</v>
      </c>
      <c r="Q124" s="32"/>
      <c r="R124" s="33">
        <v>0.71799999999999997</v>
      </c>
      <c r="S124" s="34">
        <v>7</v>
      </c>
      <c r="T124" s="34">
        <v>13812</v>
      </c>
      <c r="U124" s="32"/>
      <c r="V124" s="33">
        <v>0.70299999999999996</v>
      </c>
      <c r="W124" s="34">
        <v>7</v>
      </c>
      <c r="X124" s="34">
        <v>13967</v>
      </c>
      <c r="Y124" s="32"/>
      <c r="Z124" s="33">
        <v>0.57599999999999996</v>
      </c>
      <c r="AA124" s="34">
        <v>7</v>
      </c>
      <c r="AB124" s="34">
        <v>14136</v>
      </c>
      <c r="AC124" s="32"/>
      <c r="AD124" s="33">
        <v>0.48399999999999999</v>
      </c>
      <c r="AE124" s="34">
        <v>6</v>
      </c>
      <c r="AF124" s="34">
        <v>12069</v>
      </c>
      <c r="AG124" s="32"/>
      <c r="AH124" s="33">
        <v>0.72799999999999998</v>
      </c>
      <c r="AI124" s="34">
        <v>7</v>
      </c>
      <c r="AJ124" s="34">
        <v>13800</v>
      </c>
      <c r="AL124" s="33">
        <v>0.81599999999999995</v>
      </c>
      <c r="AM124" s="34">
        <v>7</v>
      </c>
      <c r="AN124" s="34">
        <v>11886</v>
      </c>
    </row>
    <row r="125" spans="1:40" x14ac:dyDescent="0.2">
      <c r="A125" s="27" t="s">
        <v>49</v>
      </c>
      <c r="B125" s="33">
        <v>0.54700000000000004</v>
      </c>
      <c r="C125" s="34">
        <v>22</v>
      </c>
      <c r="D125" s="34">
        <v>73650</v>
      </c>
      <c r="E125" s="32"/>
      <c r="F125" s="33">
        <v>0.56999999999999995</v>
      </c>
      <c r="G125" s="34">
        <v>22</v>
      </c>
      <c r="H125" s="34">
        <v>74760</v>
      </c>
      <c r="I125" s="32"/>
      <c r="J125" s="33">
        <v>0.54100000000000004</v>
      </c>
      <c r="K125" s="34">
        <v>20</v>
      </c>
      <c r="L125" s="34">
        <v>74303</v>
      </c>
      <c r="M125" s="32"/>
      <c r="N125" s="33">
        <v>0.60399999999999998</v>
      </c>
      <c r="O125" s="34">
        <v>20</v>
      </c>
      <c r="P125" s="34">
        <v>74238</v>
      </c>
      <c r="Q125" s="32"/>
      <c r="R125" s="33">
        <v>0.63100000000000001</v>
      </c>
      <c r="S125" s="34">
        <v>20</v>
      </c>
      <c r="T125" s="34">
        <v>74218</v>
      </c>
      <c r="U125" s="32"/>
      <c r="V125" s="33">
        <v>0.59699999999999998</v>
      </c>
      <c r="W125" s="34">
        <v>19</v>
      </c>
      <c r="X125" s="34">
        <v>73830</v>
      </c>
      <c r="Y125" s="32"/>
      <c r="Z125" s="33">
        <v>0.58699999999999997</v>
      </c>
      <c r="AA125" s="34">
        <v>21</v>
      </c>
      <c r="AB125" s="34">
        <v>77562</v>
      </c>
      <c r="AC125" s="32"/>
      <c r="AD125" s="33">
        <v>0.626</v>
      </c>
      <c r="AE125" s="34">
        <v>16</v>
      </c>
      <c r="AF125" s="34">
        <v>60879</v>
      </c>
      <c r="AG125" s="32"/>
      <c r="AH125" s="33">
        <v>0.72399999999999998</v>
      </c>
      <c r="AI125" s="34">
        <v>17</v>
      </c>
      <c r="AJ125" s="34">
        <v>63900</v>
      </c>
      <c r="AL125" s="33">
        <v>0.66600000000000004</v>
      </c>
      <c r="AM125" s="34">
        <v>16</v>
      </c>
      <c r="AN125" s="34">
        <v>53460</v>
      </c>
    </row>
    <row r="126" spans="1:40" x14ac:dyDescent="0.2">
      <c r="A126" s="27" t="s">
        <v>45</v>
      </c>
      <c r="B126" s="33">
        <v>0.65400000000000003</v>
      </c>
      <c r="C126" s="34">
        <v>5</v>
      </c>
      <c r="D126" s="34">
        <v>5550</v>
      </c>
      <c r="E126" s="32"/>
      <c r="F126" s="33">
        <v>0.63700000000000001</v>
      </c>
      <c r="G126" s="34">
        <v>5</v>
      </c>
      <c r="H126" s="34">
        <v>4425</v>
      </c>
      <c r="I126" s="32"/>
      <c r="J126" s="33">
        <v>0.54300000000000004</v>
      </c>
      <c r="K126" s="34">
        <v>5</v>
      </c>
      <c r="L126" s="34">
        <v>3300</v>
      </c>
      <c r="M126" s="32"/>
      <c r="N126" s="33">
        <v>0.32600000000000001</v>
      </c>
      <c r="O126" s="34">
        <v>3</v>
      </c>
      <c r="P126" s="34">
        <v>2220</v>
      </c>
      <c r="Q126" s="32"/>
      <c r="R126" s="33">
        <v>0.30099999999999999</v>
      </c>
      <c r="S126" s="34">
        <v>2</v>
      </c>
      <c r="T126" s="34">
        <v>1800</v>
      </c>
      <c r="U126" s="32"/>
      <c r="V126" s="33">
        <v>0.40799999999999997</v>
      </c>
      <c r="W126" s="34">
        <v>2</v>
      </c>
      <c r="X126" s="34">
        <v>1890</v>
      </c>
      <c r="Y126" s="32"/>
      <c r="Z126" s="33">
        <v>0.55500000000000005</v>
      </c>
      <c r="AA126" s="34">
        <v>2</v>
      </c>
      <c r="AB126" s="34">
        <v>1860</v>
      </c>
      <c r="AC126" s="32"/>
      <c r="AD126" s="33">
        <v>0.626</v>
      </c>
      <c r="AE126" s="34">
        <v>2</v>
      </c>
      <c r="AF126" s="34">
        <v>1800</v>
      </c>
      <c r="AG126" s="32"/>
      <c r="AH126" s="33">
        <v>0.70199999999999996</v>
      </c>
      <c r="AI126" s="34">
        <v>2</v>
      </c>
      <c r="AJ126" s="34">
        <v>1800</v>
      </c>
      <c r="AL126" s="33">
        <v>0.88100000000000001</v>
      </c>
      <c r="AM126" s="34">
        <v>2</v>
      </c>
      <c r="AN126" s="34">
        <v>780</v>
      </c>
    </row>
    <row r="127" spans="1:40" x14ac:dyDescent="0.2">
      <c r="A127" s="32"/>
      <c r="B127" s="32"/>
      <c r="C127" s="32"/>
      <c r="D127" s="32"/>
      <c r="E127" s="32"/>
      <c r="F127" s="32"/>
      <c r="G127" s="32"/>
      <c r="H127" s="32"/>
    </row>
    <row r="128" spans="1:40" x14ac:dyDescent="0.2">
      <c r="A128" s="32"/>
      <c r="B128" s="101" t="s">
        <v>225</v>
      </c>
      <c r="C128" s="102"/>
      <c r="D128" s="102"/>
      <c r="E128" s="32"/>
      <c r="F128" s="101" t="s">
        <v>207</v>
      </c>
      <c r="G128" s="102"/>
      <c r="H128" s="102"/>
      <c r="I128" s="32"/>
      <c r="J128" s="101" t="s">
        <v>180</v>
      </c>
      <c r="K128" s="102"/>
      <c r="L128" s="102"/>
      <c r="M128" s="32"/>
      <c r="N128" s="101" t="s">
        <v>167</v>
      </c>
      <c r="O128" s="102"/>
      <c r="P128" s="102"/>
      <c r="Q128" s="32"/>
      <c r="R128" s="101" t="s">
        <v>150</v>
      </c>
      <c r="S128" s="102"/>
      <c r="T128" s="102"/>
      <c r="U128" s="32"/>
      <c r="V128" s="101" t="s">
        <v>129</v>
      </c>
      <c r="W128" s="102"/>
      <c r="X128" s="102"/>
      <c r="Y128" s="32"/>
      <c r="Z128" s="101" t="s">
        <v>128</v>
      </c>
      <c r="AA128" s="102"/>
      <c r="AB128" s="102"/>
      <c r="AC128" s="32"/>
      <c r="AD128" s="101" t="s">
        <v>97</v>
      </c>
      <c r="AE128" s="102"/>
      <c r="AF128" s="102"/>
      <c r="AG128" s="32"/>
      <c r="AH128" s="101" t="s">
        <v>71</v>
      </c>
      <c r="AI128" s="102"/>
      <c r="AJ128" s="102"/>
      <c r="AK128" s="32"/>
      <c r="AL128" s="96"/>
      <c r="AM128" s="96" t="s">
        <v>72</v>
      </c>
      <c r="AN128" s="96"/>
    </row>
    <row r="129" spans="1:40" ht="45" x14ac:dyDescent="0.2">
      <c r="A129" s="32"/>
      <c r="B129" s="25" t="s">
        <v>4</v>
      </c>
      <c r="C129" s="26" t="s">
        <v>77</v>
      </c>
      <c r="D129" s="26" t="s">
        <v>70</v>
      </c>
      <c r="E129" s="32"/>
      <c r="F129" s="25" t="s">
        <v>4</v>
      </c>
      <c r="G129" s="26" t="s">
        <v>77</v>
      </c>
      <c r="H129" s="26" t="s">
        <v>70</v>
      </c>
      <c r="I129" s="32"/>
      <c r="J129" s="25" t="s">
        <v>4</v>
      </c>
      <c r="K129" s="26" t="s">
        <v>77</v>
      </c>
      <c r="L129" s="26" t="s">
        <v>70</v>
      </c>
      <c r="M129" s="32"/>
      <c r="N129" s="25" t="s">
        <v>4</v>
      </c>
      <c r="O129" s="26" t="s">
        <v>77</v>
      </c>
      <c r="P129" s="26" t="s">
        <v>70</v>
      </c>
      <c r="Q129" s="32"/>
      <c r="R129" s="25" t="s">
        <v>4</v>
      </c>
      <c r="S129" s="26" t="s">
        <v>77</v>
      </c>
      <c r="T129" s="26" t="s">
        <v>70</v>
      </c>
      <c r="U129" s="32"/>
      <c r="V129" s="25" t="s">
        <v>4</v>
      </c>
      <c r="W129" s="26" t="s">
        <v>77</v>
      </c>
      <c r="X129" s="26" t="s">
        <v>70</v>
      </c>
      <c r="Y129" s="32"/>
      <c r="Z129" s="25" t="s">
        <v>4</v>
      </c>
      <c r="AA129" s="26" t="s">
        <v>77</v>
      </c>
      <c r="AB129" s="26" t="s">
        <v>70</v>
      </c>
      <c r="AC129" s="32"/>
      <c r="AD129" s="25" t="s">
        <v>4</v>
      </c>
      <c r="AE129" s="26" t="s">
        <v>77</v>
      </c>
      <c r="AF129" s="26" t="s">
        <v>70</v>
      </c>
      <c r="AG129" s="32"/>
      <c r="AH129" s="25" t="s">
        <v>4</v>
      </c>
      <c r="AI129" s="26" t="s">
        <v>77</v>
      </c>
      <c r="AJ129" s="26" t="s">
        <v>70</v>
      </c>
      <c r="AK129" s="32"/>
      <c r="AL129" s="25" t="s">
        <v>4</v>
      </c>
      <c r="AM129" s="26" t="s">
        <v>77</v>
      </c>
      <c r="AN129" s="26" t="s">
        <v>70</v>
      </c>
    </row>
    <row r="130" spans="1:40" x14ac:dyDescent="0.2">
      <c r="A130" s="27" t="s">
        <v>47</v>
      </c>
      <c r="B130" s="33">
        <v>0.70299999999999996</v>
      </c>
      <c r="C130" s="34">
        <v>33</v>
      </c>
      <c r="D130" s="34">
        <v>95224</v>
      </c>
      <c r="E130" s="32"/>
      <c r="F130" s="33">
        <v>0.63900000000000001</v>
      </c>
      <c r="G130" s="34">
        <v>34</v>
      </c>
      <c r="H130" s="34">
        <v>96193</v>
      </c>
      <c r="I130" s="32"/>
      <c r="J130" s="33">
        <v>0.72699999999999998</v>
      </c>
      <c r="K130" s="34">
        <v>32</v>
      </c>
      <c r="L130" s="34">
        <v>93877</v>
      </c>
      <c r="M130" s="32"/>
      <c r="N130" s="33">
        <v>0.71199999999999997</v>
      </c>
      <c r="O130" s="34">
        <v>30</v>
      </c>
      <c r="P130" s="34">
        <v>93270</v>
      </c>
      <c r="Q130" s="32"/>
      <c r="R130" s="33">
        <v>0.68600000000000005</v>
      </c>
      <c r="S130" s="34">
        <v>28</v>
      </c>
      <c r="T130" s="34">
        <v>92407</v>
      </c>
      <c r="U130" s="32"/>
      <c r="V130" s="33">
        <v>0.78500000000000003</v>
      </c>
      <c r="W130" s="34">
        <v>29</v>
      </c>
      <c r="X130" s="34">
        <v>92845</v>
      </c>
      <c r="Y130" s="32"/>
      <c r="Z130" s="33">
        <v>0.65</v>
      </c>
      <c r="AA130" s="34">
        <v>30</v>
      </c>
      <c r="AB130" s="34">
        <v>93558</v>
      </c>
      <c r="AC130" s="32"/>
      <c r="AD130" s="33">
        <v>0.69299999999999995</v>
      </c>
      <c r="AE130" s="34">
        <v>26</v>
      </c>
      <c r="AF130" s="34">
        <v>82646</v>
      </c>
      <c r="AG130" s="32"/>
      <c r="AH130" s="33">
        <v>0.72699999999999998</v>
      </c>
      <c r="AI130" s="34">
        <v>26</v>
      </c>
      <c r="AJ130" s="34">
        <v>82646</v>
      </c>
      <c r="AK130" s="32"/>
      <c r="AL130" s="33">
        <v>0.746</v>
      </c>
      <c r="AM130" s="34">
        <v>25</v>
      </c>
      <c r="AN130" s="34">
        <v>67859</v>
      </c>
    </row>
    <row r="131" spans="1:40" x14ac:dyDescent="0.2">
      <c r="A131" s="27"/>
      <c r="B131" s="33"/>
      <c r="C131" s="33"/>
      <c r="D131" s="34"/>
      <c r="E131" s="32"/>
      <c r="F131" s="33"/>
      <c r="G131" s="33"/>
      <c r="H131" s="34"/>
      <c r="I131" s="32"/>
      <c r="J131" s="33"/>
      <c r="K131" s="33"/>
      <c r="L131" s="34"/>
      <c r="M131" s="32"/>
      <c r="N131" s="33"/>
      <c r="O131" s="33"/>
      <c r="P131" s="34"/>
      <c r="Q131" s="32"/>
      <c r="R131" s="33"/>
      <c r="S131" s="33"/>
      <c r="T131" s="34"/>
      <c r="U131" s="32"/>
      <c r="V131" s="33"/>
      <c r="W131" s="33"/>
      <c r="X131" s="34"/>
      <c r="Y131" s="32"/>
      <c r="Z131" s="33"/>
      <c r="AA131" s="34"/>
      <c r="AB131" s="34"/>
      <c r="AC131" s="32"/>
      <c r="AD131" s="33"/>
      <c r="AE131" s="34"/>
      <c r="AF131" s="34"/>
      <c r="AG131" s="32"/>
      <c r="AH131" s="33"/>
      <c r="AI131" s="34"/>
      <c r="AJ131" s="34"/>
      <c r="AK131" s="32"/>
      <c r="AL131" s="33"/>
      <c r="AM131" s="35"/>
      <c r="AN131" s="34"/>
    </row>
    <row r="132" spans="1:40" x14ac:dyDescent="0.2">
      <c r="A132" s="27" t="s">
        <v>53</v>
      </c>
      <c r="B132" s="33">
        <v>0.70099999999999996</v>
      </c>
      <c r="C132" s="34">
        <v>7</v>
      </c>
      <c r="D132" s="34">
        <v>58373</v>
      </c>
      <c r="E132" s="32"/>
      <c r="F132" s="33">
        <v>0.61</v>
      </c>
      <c r="G132" s="34">
        <v>7</v>
      </c>
      <c r="H132" s="34">
        <v>59365</v>
      </c>
      <c r="I132" s="32"/>
      <c r="J132" s="33">
        <v>0.70699999999999996</v>
      </c>
      <c r="K132" s="34">
        <v>7</v>
      </c>
      <c r="L132" s="34">
        <v>59510</v>
      </c>
      <c r="M132" s="32"/>
      <c r="N132" s="33">
        <v>0.71899999999999997</v>
      </c>
      <c r="O132" s="34">
        <v>7</v>
      </c>
      <c r="P132" s="34">
        <v>60081</v>
      </c>
      <c r="Q132" s="32"/>
      <c r="R132" s="33">
        <v>0.68100000000000005</v>
      </c>
      <c r="S132" s="34">
        <v>7</v>
      </c>
      <c r="T132" s="34">
        <v>54467</v>
      </c>
      <c r="U132" s="32"/>
      <c r="V132" s="33">
        <v>0.83599999999999997</v>
      </c>
      <c r="W132" s="34">
        <v>6</v>
      </c>
      <c r="X132" s="34">
        <v>54684</v>
      </c>
      <c r="Y132" s="32"/>
      <c r="Z132" s="33">
        <v>0.65400000000000003</v>
      </c>
      <c r="AA132" s="34">
        <v>6</v>
      </c>
      <c r="AB132" s="34">
        <v>54684</v>
      </c>
      <c r="AC132" s="32"/>
      <c r="AD132" s="33">
        <v>0.72599999999999998</v>
      </c>
      <c r="AE132" s="34">
        <v>6</v>
      </c>
      <c r="AF132" s="34">
        <v>47709</v>
      </c>
      <c r="AG132" s="32"/>
      <c r="AH132" s="33">
        <v>0.746</v>
      </c>
      <c r="AI132" s="34">
        <v>6</v>
      </c>
      <c r="AJ132" s="34">
        <v>47709</v>
      </c>
      <c r="AK132" s="32"/>
      <c r="AL132" s="33">
        <v>0.72</v>
      </c>
      <c r="AM132" s="34">
        <v>6</v>
      </c>
      <c r="AN132" s="34">
        <v>41323</v>
      </c>
    </row>
    <row r="133" spans="1:40" x14ac:dyDescent="0.2">
      <c r="A133" s="27" t="s">
        <v>50</v>
      </c>
      <c r="B133" s="33">
        <v>0.65500000000000003</v>
      </c>
      <c r="C133" s="34">
        <v>9</v>
      </c>
      <c r="D133" s="34">
        <v>21080</v>
      </c>
      <c r="E133" s="32"/>
      <c r="F133" s="33">
        <v>0.65900000000000003</v>
      </c>
      <c r="G133" s="34">
        <v>9</v>
      </c>
      <c r="H133" s="34">
        <v>21080</v>
      </c>
      <c r="I133" s="32"/>
      <c r="J133" s="33">
        <v>0.77800000000000002</v>
      </c>
      <c r="K133" s="34">
        <v>9</v>
      </c>
      <c r="L133" s="34">
        <v>21172</v>
      </c>
      <c r="M133" s="32"/>
      <c r="N133" s="33">
        <v>0.71099999999999997</v>
      </c>
      <c r="O133" s="34">
        <v>9</v>
      </c>
      <c r="P133" s="34">
        <v>21172</v>
      </c>
      <c r="Q133" s="32"/>
      <c r="R133" s="33">
        <v>0.72099999999999997</v>
      </c>
      <c r="S133" s="34">
        <v>9</v>
      </c>
      <c r="T133" s="34">
        <v>23308</v>
      </c>
      <c r="U133" s="32"/>
      <c r="V133" s="33">
        <v>0.749</v>
      </c>
      <c r="W133" s="34">
        <v>9</v>
      </c>
      <c r="X133" s="34">
        <v>23281</v>
      </c>
      <c r="Y133" s="32"/>
      <c r="Z133" s="33">
        <v>0.65400000000000003</v>
      </c>
      <c r="AA133" s="34">
        <v>9</v>
      </c>
      <c r="AB133" s="34">
        <v>23064</v>
      </c>
      <c r="AC133" s="32"/>
      <c r="AD133" s="33">
        <v>0.65500000000000003</v>
      </c>
      <c r="AE133" s="34">
        <v>7</v>
      </c>
      <c r="AF133" s="34">
        <v>27125</v>
      </c>
      <c r="AG133" s="32"/>
      <c r="AH133" s="33">
        <v>0.73299999999999998</v>
      </c>
      <c r="AI133" s="34">
        <v>11</v>
      </c>
      <c r="AJ133" s="34">
        <v>27125</v>
      </c>
      <c r="AK133" s="32"/>
      <c r="AL133" s="33">
        <v>0.81399999999999995</v>
      </c>
      <c r="AM133" s="34">
        <v>9</v>
      </c>
      <c r="AN133" s="34">
        <v>18569</v>
      </c>
    </row>
    <row r="134" spans="1:40" x14ac:dyDescent="0.2">
      <c r="A134" s="27" t="s">
        <v>51</v>
      </c>
      <c r="B134" s="33">
        <v>0.77700000000000002</v>
      </c>
      <c r="C134" s="34">
        <v>17</v>
      </c>
      <c r="D134" s="34">
        <v>15771</v>
      </c>
      <c r="E134" s="32"/>
      <c r="F134" s="33">
        <v>0.72299999999999998</v>
      </c>
      <c r="G134" s="34">
        <v>18</v>
      </c>
      <c r="H134" s="34">
        <v>15748</v>
      </c>
      <c r="I134" s="32"/>
      <c r="J134" s="33">
        <v>0.73799999999999999</v>
      </c>
      <c r="K134" s="34">
        <v>16</v>
      </c>
      <c r="L134" s="34">
        <v>13195</v>
      </c>
      <c r="M134" s="32"/>
      <c r="N134" s="33">
        <v>0.67800000000000005</v>
      </c>
      <c r="O134" s="34">
        <v>14</v>
      </c>
      <c r="P134" s="34">
        <v>12017</v>
      </c>
      <c r="Q134" s="32"/>
      <c r="R134" s="33">
        <v>0.64800000000000002</v>
      </c>
      <c r="S134" s="34">
        <v>12</v>
      </c>
      <c r="T134" s="34">
        <v>14632</v>
      </c>
      <c r="U134" s="32"/>
      <c r="V134" s="33">
        <v>0.65400000000000003</v>
      </c>
      <c r="W134" s="34">
        <v>14</v>
      </c>
      <c r="X134" s="34">
        <v>14880</v>
      </c>
      <c r="Y134" s="32"/>
      <c r="Z134" s="33">
        <v>0.63</v>
      </c>
      <c r="AA134" s="34">
        <v>15</v>
      </c>
      <c r="AB134" s="34">
        <v>15810</v>
      </c>
      <c r="AC134" s="32"/>
      <c r="AD134" s="33">
        <v>0.63800000000000001</v>
      </c>
      <c r="AE134" s="34">
        <v>13</v>
      </c>
      <c r="AF134" s="34">
        <v>7812</v>
      </c>
      <c r="AG134" s="32"/>
      <c r="AH134" s="33">
        <v>0.58599999999999997</v>
      </c>
      <c r="AI134" s="34">
        <v>9</v>
      </c>
      <c r="AJ134" s="34">
        <v>7812</v>
      </c>
      <c r="AK134" s="32"/>
      <c r="AL134" s="33">
        <v>0.72399999999999998</v>
      </c>
      <c r="AM134" s="34">
        <v>10</v>
      </c>
      <c r="AN134" s="34">
        <v>7967</v>
      </c>
    </row>
    <row r="135" spans="1:40" x14ac:dyDescent="0.2">
      <c r="A135" s="27"/>
      <c r="B135" s="33"/>
      <c r="C135" s="34"/>
      <c r="D135" s="34"/>
      <c r="E135" s="32"/>
      <c r="F135" s="33"/>
      <c r="G135" s="34"/>
      <c r="H135" s="34"/>
      <c r="I135" s="32"/>
      <c r="J135" s="33"/>
      <c r="K135" s="34"/>
      <c r="L135" s="34"/>
      <c r="M135" s="32"/>
      <c r="N135" s="33"/>
      <c r="O135" s="34"/>
      <c r="P135" s="34"/>
      <c r="Q135" s="32"/>
      <c r="R135" s="33"/>
      <c r="S135" s="34"/>
      <c r="T135" s="34"/>
      <c r="U135" s="32"/>
      <c r="V135" s="33"/>
      <c r="W135" s="34"/>
      <c r="X135" s="34"/>
      <c r="Y135" s="32"/>
      <c r="Z135" s="33"/>
      <c r="AA135" s="34"/>
      <c r="AB135" s="34"/>
      <c r="AC135" s="32"/>
      <c r="AD135" s="33"/>
      <c r="AE135" s="34"/>
      <c r="AF135" s="34"/>
      <c r="AG135" s="32"/>
      <c r="AH135" s="33"/>
      <c r="AI135" s="34"/>
      <c r="AJ135" s="34"/>
      <c r="AK135" s="32"/>
      <c r="AL135" s="33"/>
      <c r="AM135" s="34"/>
      <c r="AN135" s="34"/>
    </row>
    <row r="136" spans="1:40" x14ac:dyDescent="0.2">
      <c r="A136" s="27" t="s">
        <v>43</v>
      </c>
      <c r="B136" s="33">
        <v>0.75600000000000001</v>
      </c>
      <c r="C136" s="34">
        <v>7</v>
      </c>
      <c r="D136" s="34">
        <v>14167</v>
      </c>
      <c r="E136" s="32"/>
      <c r="F136" s="33">
        <v>0.75600000000000001</v>
      </c>
      <c r="G136" s="34">
        <v>7</v>
      </c>
      <c r="H136" s="34">
        <v>14167</v>
      </c>
      <c r="I136" s="32"/>
      <c r="J136" s="33">
        <v>0.85</v>
      </c>
      <c r="K136" s="34">
        <v>7</v>
      </c>
      <c r="L136" s="34">
        <v>14260</v>
      </c>
      <c r="M136" s="32"/>
      <c r="N136" s="33">
        <v>0.81</v>
      </c>
      <c r="O136" s="34">
        <v>7</v>
      </c>
      <c r="P136" s="34">
        <v>14260</v>
      </c>
      <c r="Q136" s="32"/>
      <c r="R136" s="33">
        <v>0.75900000000000001</v>
      </c>
      <c r="S136" s="34">
        <v>7</v>
      </c>
      <c r="T136" s="34">
        <v>14257</v>
      </c>
      <c r="U136" s="32"/>
      <c r="V136" s="33">
        <v>0.753</v>
      </c>
      <c r="W136" s="34">
        <v>7</v>
      </c>
      <c r="X136" s="34">
        <v>14260</v>
      </c>
      <c r="Y136" s="32"/>
      <c r="Z136" s="33">
        <v>0.69699999999999995</v>
      </c>
      <c r="AA136" s="34">
        <v>7</v>
      </c>
      <c r="AB136" s="34">
        <v>14136</v>
      </c>
      <c r="AC136" s="32"/>
      <c r="AD136" s="33">
        <v>0.67500000000000004</v>
      </c>
      <c r="AE136" s="34">
        <v>6</v>
      </c>
      <c r="AF136" s="34">
        <v>14260</v>
      </c>
      <c r="AG136" s="32"/>
      <c r="AH136" s="33">
        <v>0.78600000000000003</v>
      </c>
      <c r="AI136" s="34">
        <v>7</v>
      </c>
      <c r="AJ136" s="34">
        <v>14260</v>
      </c>
      <c r="AK136" s="32"/>
      <c r="AL136" s="33">
        <v>0.84299999999999997</v>
      </c>
      <c r="AM136" s="34">
        <v>7</v>
      </c>
      <c r="AN136" s="34">
        <v>12214</v>
      </c>
    </row>
    <row r="137" spans="1:40" x14ac:dyDescent="0.2">
      <c r="A137" s="27" t="s">
        <v>49</v>
      </c>
      <c r="B137" s="33">
        <v>0.69099999999999995</v>
      </c>
      <c r="C137" s="34">
        <v>21</v>
      </c>
      <c r="D137" s="34">
        <v>75323</v>
      </c>
      <c r="E137" s="32"/>
      <c r="F137" s="33">
        <v>0.61499999999999999</v>
      </c>
      <c r="G137" s="34">
        <v>22</v>
      </c>
      <c r="H137" s="34">
        <v>77469</v>
      </c>
      <c r="I137" s="32"/>
      <c r="J137" s="33">
        <v>0.71099999999999997</v>
      </c>
      <c r="K137" s="34">
        <v>20</v>
      </c>
      <c r="L137" s="34">
        <v>76207</v>
      </c>
      <c r="M137" s="32"/>
      <c r="N137" s="33">
        <v>0.70399999999999996</v>
      </c>
      <c r="O137" s="34">
        <v>20</v>
      </c>
      <c r="P137" s="34">
        <v>76716</v>
      </c>
      <c r="Q137" s="32"/>
      <c r="R137" s="33">
        <v>0.68</v>
      </c>
      <c r="S137" s="34">
        <v>19</v>
      </c>
      <c r="T137" s="34">
        <v>76290</v>
      </c>
      <c r="U137" s="32"/>
      <c r="V137" s="33">
        <v>0.8</v>
      </c>
      <c r="W137" s="34">
        <v>20</v>
      </c>
      <c r="X137" s="34">
        <v>76725</v>
      </c>
      <c r="Y137" s="32"/>
      <c r="Z137" s="33">
        <v>0.64600000000000002</v>
      </c>
      <c r="AA137" s="34">
        <v>21</v>
      </c>
      <c r="AB137" s="34">
        <v>77562</v>
      </c>
      <c r="AC137" s="32"/>
      <c r="AD137" s="33">
        <v>0.70299999999999996</v>
      </c>
      <c r="AE137" s="34">
        <v>18</v>
      </c>
      <c r="AF137" s="34">
        <v>67952</v>
      </c>
      <c r="AG137" s="32"/>
      <c r="AH137" s="33">
        <v>0.71399999999999997</v>
      </c>
      <c r="AI137" s="34">
        <v>18</v>
      </c>
      <c r="AJ137" s="34">
        <v>67952</v>
      </c>
      <c r="AK137" s="32"/>
      <c r="AL137" s="33">
        <v>0.72399999999999998</v>
      </c>
      <c r="AM137" s="34">
        <v>15</v>
      </c>
      <c r="AN137" s="34">
        <v>53413</v>
      </c>
    </row>
    <row r="138" spans="1:40" x14ac:dyDescent="0.2">
      <c r="A138" s="27" t="s">
        <v>45</v>
      </c>
      <c r="B138" s="33">
        <v>0.73499999999999999</v>
      </c>
      <c r="C138" s="34">
        <v>5</v>
      </c>
      <c r="D138" s="34">
        <v>5734</v>
      </c>
      <c r="E138" s="32"/>
      <c r="F138" s="33">
        <v>0.67400000000000004</v>
      </c>
      <c r="G138" s="34">
        <v>5</v>
      </c>
      <c r="H138" s="34">
        <v>4557</v>
      </c>
      <c r="I138" s="32"/>
      <c r="J138" s="33">
        <v>0.58599999999999997</v>
      </c>
      <c r="K138" s="34">
        <v>5</v>
      </c>
      <c r="L138" s="34">
        <v>3410</v>
      </c>
      <c r="M138" s="32"/>
      <c r="N138" s="33">
        <v>0.378</v>
      </c>
      <c r="O138" s="34">
        <v>3</v>
      </c>
      <c r="P138" s="34">
        <v>2294</v>
      </c>
      <c r="Q138" s="32"/>
      <c r="R138" s="33">
        <v>0.38300000000000001</v>
      </c>
      <c r="S138" s="34">
        <v>2</v>
      </c>
      <c r="T138" s="34">
        <v>1860</v>
      </c>
      <c r="U138" s="32"/>
      <c r="V138" s="33">
        <v>0.39900000000000002</v>
      </c>
      <c r="W138" s="34">
        <v>2</v>
      </c>
      <c r="X138" s="34">
        <v>1860</v>
      </c>
      <c r="Y138" s="32"/>
      <c r="Z138" s="33">
        <v>0.47399999999999998</v>
      </c>
      <c r="AA138" s="34">
        <v>2</v>
      </c>
      <c r="AB138" s="34">
        <v>1860</v>
      </c>
      <c r="AC138" s="32"/>
      <c r="AD138" s="33">
        <v>0.45400000000000001</v>
      </c>
      <c r="AE138" s="34">
        <v>2</v>
      </c>
      <c r="AF138" s="34">
        <v>434</v>
      </c>
      <c r="AG138" s="32"/>
      <c r="AH138" s="33">
        <v>0.78800000000000003</v>
      </c>
      <c r="AI138" s="34">
        <v>1</v>
      </c>
      <c r="AJ138" s="34">
        <v>434</v>
      </c>
      <c r="AK138" s="32"/>
      <c r="AL138" s="33">
        <v>0.76300000000000001</v>
      </c>
      <c r="AM138" s="34">
        <v>3</v>
      </c>
      <c r="AN138" s="34">
        <v>2232</v>
      </c>
    </row>
    <row r="139" spans="1:40" x14ac:dyDescent="0.2">
      <c r="A139" s="32"/>
      <c r="B139" s="32"/>
      <c r="C139" s="32"/>
      <c r="D139" s="32"/>
      <c r="E139" s="32"/>
      <c r="F139" s="32"/>
      <c r="G139" s="32"/>
      <c r="H139" s="32"/>
    </row>
    <row r="140" spans="1:40" x14ac:dyDescent="0.2">
      <c r="A140" s="32"/>
      <c r="B140" s="101" t="s">
        <v>224</v>
      </c>
      <c r="C140" s="102"/>
      <c r="D140" s="102"/>
      <c r="E140" s="32"/>
      <c r="F140" s="101" t="s">
        <v>206</v>
      </c>
      <c r="G140" s="102"/>
      <c r="H140" s="102"/>
      <c r="I140" s="32"/>
      <c r="J140" s="101" t="s">
        <v>178</v>
      </c>
      <c r="K140" s="102"/>
      <c r="L140" s="102"/>
      <c r="M140" s="32"/>
      <c r="N140" s="101" t="s">
        <v>164</v>
      </c>
      <c r="O140" s="102"/>
      <c r="P140" s="102"/>
      <c r="Q140" s="32"/>
      <c r="R140" s="101" t="s">
        <v>149</v>
      </c>
      <c r="S140" s="102"/>
      <c r="T140" s="102"/>
      <c r="U140" s="32"/>
      <c r="V140" s="101" t="s">
        <v>127</v>
      </c>
      <c r="W140" s="102"/>
      <c r="X140" s="102"/>
      <c r="Y140" s="32"/>
      <c r="Z140" s="101" t="s">
        <v>121</v>
      </c>
      <c r="AA140" s="102"/>
      <c r="AB140" s="102"/>
      <c r="AC140" s="32"/>
      <c r="AD140" s="101" t="s">
        <v>93</v>
      </c>
      <c r="AE140" s="102"/>
      <c r="AF140" s="102"/>
      <c r="AG140" s="32"/>
      <c r="AH140" s="101" t="s">
        <v>94</v>
      </c>
      <c r="AI140" s="102"/>
      <c r="AJ140" s="102"/>
      <c r="AL140" s="101" t="s">
        <v>95</v>
      </c>
      <c r="AM140" s="102"/>
      <c r="AN140" s="102"/>
    </row>
    <row r="141" spans="1:40" ht="45" x14ac:dyDescent="0.2">
      <c r="A141" s="32"/>
      <c r="B141" s="25" t="s">
        <v>4</v>
      </c>
      <c r="C141" s="26" t="s">
        <v>77</v>
      </c>
      <c r="D141" s="26" t="s">
        <v>70</v>
      </c>
      <c r="E141" s="32"/>
      <c r="F141" s="25" t="s">
        <v>4</v>
      </c>
      <c r="G141" s="26" t="s">
        <v>77</v>
      </c>
      <c r="H141" s="26" t="s">
        <v>70</v>
      </c>
      <c r="I141" s="32"/>
      <c r="J141" s="25" t="s">
        <v>4</v>
      </c>
      <c r="K141" s="26" t="s">
        <v>77</v>
      </c>
      <c r="L141" s="26" t="s">
        <v>70</v>
      </c>
      <c r="M141" s="32"/>
      <c r="N141" s="25" t="s">
        <v>4</v>
      </c>
      <c r="O141" s="26" t="s">
        <v>77</v>
      </c>
      <c r="P141" s="26" t="s">
        <v>70</v>
      </c>
      <c r="Q141" s="32"/>
      <c r="R141" s="25" t="s">
        <v>4</v>
      </c>
      <c r="S141" s="26" t="s">
        <v>77</v>
      </c>
      <c r="T141" s="26" t="s">
        <v>70</v>
      </c>
      <c r="U141" s="32"/>
      <c r="V141" s="25" t="s">
        <v>4</v>
      </c>
      <c r="W141" s="26" t="s">
        <v>77</v>
      </c>
      <c r="X141" s="26" t="s">
        <v>70</v>
      </c>
      <c r="Y141" s="32"/>
      <c r="Z141" s="25" t="s">
        <v>4</v>
      </c>
      <c r="AA141" s="26" t="s">
        <v>77</v>
      </c>
      <c r="AB141" s="26" t="s">
        <v>70</v>
      </c>
      <c r="AC141" s="32"/>
      <c r="AD141" s="25" t="s">
        <v>4</v>
      </c>
      <c r="AE141" s="26" t="s">
        <v>77</v>
      </c>
      <c r="AF141" s="26" t="s">
        <v>70</v>
      </c>
      <c r="AG141" s="32"/>
      <c r="AH141" s="25" t="s">
        <v>4</v>
      </c>
      <c r="AI141" s="26" t="s">
        <v>77</v>
      </c>
      <c r="AJ141" s="26" t="s">
        <v>70</v>
      </c>
      <c r="AL141" s="25" t="s">
        <v>4</v>
      </c>
      <c r="AM141" s="26" t="s">
        <v>77</v>
      </c>
      <c r="AN141" s="26" t="s">
        <v>70</v>
      </c>
    </row>
    <row r="142" spans="1:40" x14ac:dyDescent="0.2">
      <c r="A142" s="27" t="s">
        <v>47</v>
      </c>
      <c r="B142" s="33">
        <v>0.73499999999999999</v>
      </c>
      <c r="C142" s="34">
        <v>33</v>
      </c>
      <c r="D142" s="34">
        <v>89295</v>
      </c>
      <c r="E142" s="32"/>
      <c r="F142" s="33">
        <v>0.69399999999999995</v>
      </c>
      <c r="G142" s="34">
        <v>34</v>
      </c>
      <c r="H142" s="34">
        <v>86940</v>
      </c>
      <c r="I142" s="32"/>
      <c r="J142" s="33">
        <v>0.752</v>
      </c>
      <c r="K142" s="34">
        <v>31</v>
      </c>
      <c r="L142" s="34">
        <v>84980</v>
      </c>
      <c r="M142" s="32"/>
      <c r="N142" s="33">
        <v>0.76400000000000001</v>
      </c>
      <c r="O142" s="34">
        <v>30</v>
      </c>
      <c r="P142" s="34">
        <v>84269</v>
      </c>
      <c r="Q142" s="32"/>
      <c r="R142" s="33">
        <v>0.70799999999999996</v>
      </c>
      <c r="S142" s="34">
        <v>29</v>
      </c>
      <c r="T142" s="34">
        <v>86941</v>
      </c>
      <c r="U142" s="32"/>
      <c r="V142" s="33">
        <v>0.72899999999999998</v>
      </c>
      <c r="W142" s="34">
        <v>28</v>
      </c>
      <c r="X142" s="34">
        <v>83522</v>
      </c>
      <c r="Y142" s="32"/>
      <c r="Z142" s="33">
        <v>0.66800000000000004</v>
      </c>
      <c r="AA142" s="34">
        <v>30</v>
      </c>
      <c r="AB142" s="34">
        <v>83609</v>
      </c>
      <c r="AC142" s="32"/>
      <c r="AD142" s="33">
        <v>0.73799999999999999</v>
      </c>
      <c r="AE142" s="34">
        <v>27</v>
      </c>
      <c r="AF142" s="34">
        <v>74912</v>
      </c>
      <c r="AG142" s="32"/>
      <c r="AH142" s="33">
        <v>0.81100000000000005</v>
      </c>
      <c r="AI142" s="34">
        <v>26</v>
      </c>
      <c r="AJ142" s="34">
        <v>77459</v>
      </c>
      <c r="AL142" s="33">
        <v>0.85799999999999998</v>
      </c>
      <c r="AM142" s="34">
        <v>24</v>
      </c>
      <c r="AN142" s="34">
        <v>56445</v>
      </c>
    </row>
    <row r="143" spans="1:40" x14ac:dyDescent="0.2">
      <c r="A143" s="27"/>
      <c r="B143" s="33"/>
      <c r="C143" s="34"/>
      <c r="D143" s="34"/>
      <c r="E143" s="32"/>
      <c r="F143" s="33"/>
      <c r="G143" s="34"/>
      <c r="H143" s="34"/>
      <c r="I143" s="32"/>
      <c r="J143" s="33"/>
      <c r="K143" s="34"/>
      <c r="L143" s="34"/>
      <c r="M143" s="32"/>
      <c r="N143" s="33"/>
      <c r="O143" s="34"/>
      <c r="P143" s="34"/>
      <c r="Q143" s="32"/>
      <c r="R143" s="33"/>
      <c r="S143" s="34"/>
      <c r="T143" s="34"/>
      <c r="U143" s="32"/>
      <c r="V143" s="33"/>
      <c r="W143" s="34"/>
      <c r="X143" s="34"/>
      <c r="Y143" s="32"/>
      <c r="Z143" s="33"/>
      <c r="AA143" s="34"/>
      <c r="AB143" s="34"/>
      <c r="AC143" s="32"/>
      <c r="AD143" s="33"/>
      <c r="AE143" s="34"/>
      <c r="AF143" s="34"/>
      <c r="AG143" s="32"/>
      <c r="AH143" s="33"/>
      <c r="AI143" s="34"/>
      <c r="AJ143" s="34"/>
      <c r="AL143" s="33"/>
      <c r="AM143" s="35"/>
      <c r="AN143" s="34"/>
    </row>
    <row r="144" spans="1:40" x14ac:dyDescent="0.2">
      <c r="A144" s="27" t="s">
        <v>53</v>
      </c>
      <c r="B144" s="33">
        <v>0.70299999999999996</v>
      </c>
      <c r="C144" s="34">
        <v>7</v>
      </c>
      <c r="D144" s="34">
        <v>54636</v>
      </c>
      <c r="E144" s="32"/>
      <c r="F144" s="33">
        <v>0.64800000000000002</v>
      </c>
      <c r="G144" s="34">
        <v>7</v>
      </c>
      <c r="H144" s="34">
        <v>54124</v>
      </c>
      <c r="I144" s="32"/>
      <c r="J144" s="33">
        <v>0.71799999999999997</v>
      </c>
      <c r="K144" s="34">
        <v>7</v>
      </c>
      <c r="L144" s="34">
        <v>54292</v>
      </c>
      <c r="M144" s="32"/>
      <c r="N144" s="33">
        <v>0.76100000000000001</v>
      </c>
      <c r="O144" s="34">
        <v>7</v>
      </c>
      <c r="P144" s="34">
        <v>54264</v>
      </c>
      <c r="Q144" s="32"/>
      <c r="R144" s="33">
        <v>0.67900000000000005</v>
      </c>
      <c r="S144" s="34">
        <v>7</v>
      </c>
      <c r="T144" s="34">
        <v>51069</v>
      </c>
      <c r="U144" s="32"/>
      <c r="V144" s="33">
        <v>0.71799999999999997</v>
      </c>
      <c r="W144" s="34">
        <v>6</v>
      </c>
      <c r="X144" s="34">
        <v>49392</v>
      </c>
      <c r="Y144" s="32"/>
      <c r="Z144" s="33">
        <v>0.65900000000000003</v>
      </c>
      <c r="AA144" s="34">
        <v>6</v>
      </c>
      <c r="AB144" s="34">
        <v>49392</v>
      </c>
      <c r="AC144" s="32"/>
      <c r="AD144" s="33">
        <v>0.75800000000000001</v>
      </c>
      <c r="AE144" s="34">
        <v>6</v>
      </c>
      <c r="AF144" s="34">
        <v>42700</v>
      </c>
      <c r="AG144" s="32"/>
      <c r="AH144" s="33">
        <v>0.82299999999999995</v>
      </c>
      <c r="AI144" s="34">
        <v>6</v>
      </c>
      <c r="AJ144" s="34">
        <v>44515</v>
      </c>
      <c r="AL144" s="33">
        <v>0.86699999999999999</v>
      </c>
      <c r="AM144" s="34">
        <v>5</v>
      </c>
      <c r="AN144" s="34">
        <v>31332</v>
      </c>
    </row>
    <row r="145" spans="1:40" x14ac:dyDescent="0.2">
      <c r="A145" s="27" t="s">
        <v>50</v>
      </c>
      <c r="B145" s="33">
        <v>0.748</v>
      </c>
      <c r="C145" s="34">
        <v>9</v>
      </c>
      <c r="D145" s="34">
        <v>19720</v>
      </c>
      <c r="E145" s="32"/>
      <c r="F145" s="33">
        <v>0.76700000000000002</v>
      </c>
      <c r="G145" s="34">
        <v>9</v>
      </c>
      <c r="H145" s="34">
        <v>19096</v>
      </c>
      <c r="I145" s="32"/>
      <c r="J145" s="33">
        <v>0.80400000000000005</v>
      </c>
      <c r="K145" s="34">
        <v>9</v>
      </c>
      <c r="L145" s="34">
        <v>19319</v>
      </c>
      <c r="M145" s="32"/>
      <c r="N145" s="33">
        <v>0.79</v>
      </c>
      <c r="O145" s="34">
        <v>9</v>
      </c>
      <c r="P145" s="34">
        <v>19123</v>
      </c>
      <c r="Q145" s="32"/>
      <c r="R145" s="33">
        <v>0.76800000000000002</v>
      </c>
      <c r="S145" s="34">
        <v>9</v>
      </c>
      <c r="T145" s="34">
        <v>21807</v>
      </c>
      <c r="U145" s="32"/>
      <c r="V145" s="33">
        <v>0.74299999999999999</v>
      </c>
      <c r="W145" s="34">
        <v>9</v>
      </c>
      <c r="X145" s="34">
        <v>21028</v>
      </c>
      <c r="Y145" s="32"/>
      <c r="Z145" s="33">
        <v>0.68300000000000005</v>
      </c>
      <c r="AA145" s="34">
        <v>9</v>
      </c>
      <c r="AB145" s="34">
        <v>20720</v>
      </c>
      <c r="AC145" s="32"/>
      <c r="AD145" s="33">
        <v>0.70899999999999996</v>
      </c>
      <c r="AE145" s="34">
        <v>7</v>
      </c>
      <c r="AF145" s="34">
        <v>18312</v>
      </c>
      <c r="AG145" s="32"/>
      <c r="AH145" s="33">
        <v>0.81</v>
      </c>
      <c r="AI145" s="34">
        <v>11</v>
      </c>
      <c r="AJ145" s="34">
        <v>25201</v>
      </c>
      <c r="AL145" s="33">
        <v>0.89</v>
      </c>
      <c r="AM145" s="34">
        <v>9</v>
      </c>
      <c r="AN145" s="34">
        <v>16940</v>
      </c>
    </row>
    <row r="146" spans="1:40" x14ac:dyDescent="0.2">
      <c r="A146" s="27" t="s">
        <v>51</v>
      </c>
      <c r="B146" s="33">
        <v>0.83499999999999996</v>
      </c>
      <c r="C146" s="34">
        <v>17</v>
      </c>
      <c r="D146" s="34">
        <v>14939</v>
      </c>
      <c r="E146" s="32"/>
      <c r="F146" s="33">
        <v>0.77</v>
      </c>
      <c r="G146" s="34">
        <v>18</v>
      </c>
      <c r="H146" s="34">
        <v>13720</v>
      </c>
      <c r="I146" s="32"/>
      <c r="J146" s="33">
        <v>0.82899999999999996</v>
      </c>
      <c r="K146" s="34">
        <v>15</v>
      </c>
      <c r="L146" s="34">
        <v>11369</v>
      </c>
      <c r="M146" s="32"/>
      <c r="N146" s="33">
        <v>0.73199999999999998</v>
      </c>
      <c r="O146" s="34">
        <v>14</v>
      </c>
      <c r="P146" s="34">
        <v>10882</v>
      </c>
      <c r="Q146" s="32"/>
      <c r="R146" s="33">
        <v>0.72199999999999998</v>
      </c>
      <c r="S146" s="34">
        <v>13</v>
      </c>
      <c r="T146" s="34">
        <v>14065</v>
      </c>
      <c r="U146" s="32"/>
      <c r="V146" s="33">
        <v>0.748</v>
      </c>
      <c r="W146" s="34">
        <v>13</v>
      </c>
      <c r="X146" s="34">
        <v>13102</v>
      </c>
      <c r="Y146" s="32"/>
      <c r="Z146" s="33">
        <v>0.69299999999999995</v>
      </c>
      <c r="AA146" s="34">
        <v>15</v>
      </c>
      <c r="AB146" s="34">
        <v>13497</v>
      </c>
      <c r="AC146" s="32"/>
      <c r="AD146" s="33">
        <v>0.71699999999999997</v>
      </c>
      <c r="AE146" s="34">
        <v>13</v>
      </c>
      <c r="AF146" s="34">
        <v>13424</v>
      </c>
      <c r="AG146" s="32"/>
      <c r="AH146" s="33">
        <v>0.73899999999999999</v>
      </c>
      <c r="AI146" s="34">
        <v>9</v>
      </c>
      <c r="AJ146" s="34">
        <v>7743</v>
      </c>
      <c r="AL146" s="33">
        <v>0.75700000000000001</v>
      </c>
      <c r="AM146" s="34">
        <v>10</v>
      </c>
      <c r="AN146" s="34">
        <v>8173</v>
      </c>
    </row>
    <row r="147" spans="1:40" x14ac:dyDescent="0.2">
      <c r="A147" s="27"/>
      <c r="B147" s="33"/>
      <c r="C147" s="34"/>
      <c r="D147" s="34"/>
      <c r="E147" s="32"/>
      <c r="F147" s="33"/>
      <c r="G147" s="34"/>
      <c r="H147" s="34"/>
      <c r="I147" s="32"/>
      <c r="J147" s="33"/>
      <c r="K147" s="34"/>
      <c r="L147" s="34"/>
      <c r="M147" s="32"/>
      <c r="N147" s="33"/>
      <c r="O147" s="34"/>
      <c r="P147" s="34"/>
      <c r="Q147" s="32"/>
      <c r="R147" s="33"/>
      <c r="S147" s="34"/>
      <c r="T147" s="34"/>
      <c r="U147" s="32"/>
      <c r="V147" s="33"/>
      <c r="W147" s="34"/>
      <c r="X147" s="34"/>
      <c r="Y147" s="32"/>
      <c r="Z147" s="33"/>
      <c r="AA147" s="34"/>
      <c r="AB147" s="34"/>
      <c r="AC147" s="32"/>
      <c r="AD147" s="33"/>
      <c r="AE147" s="34"/>
      <c r="AF147" s="34"/>
      <c r="AG147" s="32"/>
      <c r="AH147" s="33"/>
      <c r="AI147" s="34"/>
      <c r="AJ147" s="34"/>
      <c r="AL147" s="33"/>
      <c r="AM147" s="34"/>
      <c r="AN147" s="34"/>
    </row>
    <row r="148" spans="1:40" x14ac:dyDescent="0.2">
      <c r="A148" s="27" t="s">
        <v>43</v>
      </c>
      <c r="B148" s="33">
        <v>0.83899999999999997</v>
      </c>
      <c r="C148" s="34">
        <v>7</v>
      </c>
      <c r="D148" s="34">
        <v>13253</v>
      </c>
      <c r="E148" s="32"/>
      <c r="F148" s="33">
        <v>0.84699999999999998</v>
      </c>
      <c r="G148" s="34">
        <v>7</v>
      </c>
      <c r="H148" s="34">
        <v>12852</v>
      </c>
      <c r="I148" s="32"/>
      <c r="J148" s="33">
        <v>0.84699999999999998</v>
      </c>
      <c r="K148" s="34">
        <v>7</v>
      </c>
      <c r="L148" s="34">
        <v>13076</v>
      </c>
      <c r="M148" s="32"/>
      <c r="N148" s="33">
        <v>0.86</v>
      </c>
      <c r="O148" s="34">
        <v>7</v>
      </c>
      <c r="P148" s="34">
        <v>12880</v>
      </c>
      <c r="Q148" s="32"/>
      <c r="R148" s="33">
        <v>0.81699999999999995</v>
      </c>
      <c r="S148" s="34">
        <v>7</v>
      </c>
      <c r="T148" s="34">
        <v>13368</v>
      </c>
      <c r="U148" s="32"/>
      <c r="V148" s="33">
        <v>0.81399999999999995</v>
      </c>
      <c r="W148" s="34">
        <v>7</v>
      </c>
      <c r="X148" s="34">
        <v>12880</v>
      </c>
      <c r="Y148" s="32"/>
      <c r="Z148" s="33">
        <v>0.71799999999999997</v>
      </c>
      <c r="AA148" s="34">
        <v>7</v>
      </c>
      <c r="AB148" s="34">
        <v>12013</v>
      </c>
      <c r="AC148" s="32"/>
      <c r="AD148" s="33">
        <v>0.75800000000000001</v>
      </c>
      <c r="AE148" s="34">
        <v>6</v>
      </c>
      <c r="AF148" s="34">
        <v>11928</v>
      </c>
      <c r="AG148" s="32"/>
      <c r="AH148" s="33">
        <v>0.85799999999999998</v>
      </c>
      <c r="AI148" s="34">
        <v>9</v>
      </c>
      <c r="AJ148" s="34">
        <v>13340</v>
      </c>
      <c r="AL148" s="33">
        <v>0.89600000000000002</v>
      </c>
      <c r="AM148" s="34">
        <v>7</v>
      </c>
      <c r="AN148" s="34">
        <v>11197</v>
      </c>
    </row>
    <row r="149" spans="1:40" x14ac:dyDescent="0.2">
      <c r="A149" s="27" t="s">
        <v>49</v>
      </c>
      <c r="B149" s="33">
        <v>0.71399999999999997</v>
      </c>
      <c r="C149" s="34">
        <v>21</v>
      </c>
      <c r="D149" s="34">
        <v>70615</v>
      </c>
      <c r="E149" s="32"/>
      <c r="F149" s="33">
        <v>0.66700000000000004</v>
      </c>
      <c r="G149" s="34">
        <v>22</v>
      </c>
      <c r="H149" s="34">
        <v>70224</v>
      </c>
      <c r="I149" s="32"/>
      <c r="J149" s="33">
        <v>0.73499999999999999</v>
      </c>
      <c r="K149" s="34">
        <v>20</v>
      </c>
      <c r="L149" s="34">
        <v>69412</v>
      </c>
      <c r="M149" s="32"/>
      <c r="N149" s="33">
        <v>0.75600000000000001</v>
      </c>
      <c r="O149" s="34">
        <v>20</v>
      </c>
      <c r="P149" s="34">
        <v>69317</v>
      </c>
      <c r="Q149" s="32"/>
      <c r="R149" s="33">
        <v>0.69499999999999995</v>
      </c>
      <c r="S149" s="34">
        <v>20</v>
      </c>
      <c r="T149" s="34">
        <v>71833</v>
      </c>
      <c r="U149" s="32"/>
      <c r="V149" s="33">
        <v>0.72099999999999997</v>
      </c>
      <c r="W149" s="34">
        <v>19</v>
      </c>
      <c r="X149" s="34">
        <v>68962</v>
      </c>
      <c r="Y149" s="32"/>
      <c r="Z149" s="33">
        <v>0.66400000000000003</v>
      </c>
      <c r="AA149" s="34">
        <v>21</v>
      </c>
      <c r="AB149" s="34">
        <v>69916</v>
      </c>
      <c r="AC149" s="32"/>
      <c r="AD149" s="33">
        <v>0.73699999999999999</v>
      </c>
      <c r="AE149" s="34">
        <v>19</v>
      </c>
      <c r="AF149" s="34">
        <v>61226</v>
      </c>
      <c r="AG149" s="32"/>
      <c r="AH149" s="33">
        <v>0.8</v>
      </c>
      <c r="AI149" s="34">
        <v>17</v>
      </c>
      <c r="AJ149" s="34">
        <v>62379</v>
      </c>
      <c r="AL149" s="33">
        <v>0.84799999999999998</v>
      </c>
      <c r="AM149" s="34">
        <v>15</v>
      </c>
      <c r="AN149" s="34">
        <v>43596</v>
      </c>
    </row>
    <row r="150" spans="1:40" x14ac:dyDescent="0.2">
      <c r="A150" s="27" t="s">
        <v>45</v>
      </c>
      <c r="B150" s="33">
        <v>0.76300000000000001</v>
      </c>
      <c r="C150" s="34">
        <v>5</v>
      </c>
      <c r="D150" s="34">
        <v>5427</v>
      </c>
      <c r="E150" s="32"/>
      <c r="F150" s="33">
        <v>0.65700000000000003</v>
      </c>
      <c r="G150" s="34">
        <v>5</v>
      </c>
      <c r="H150" s="34">
        <v>3864</v>
      </c>
      <c r="I150" s="32"/>
      <c r="J150" s="33">
        <v>0.72099999999999997</v>
      </c>
      <c r="K150" s="34">
        <v>4</v>
      </c>
      <c r="L150" s="34">
        <v>2492</v>
      </c>
      <c r="M150" s="32"/>
      <c r="N150" s="33">
        <v>0.42099999999999999</v>
      </c>
      <c r="O150" s="34">
        <v>3</v>
      </c>
      <c r="P150" s="34">
        <v>2072</v>
      </c>
      <c r="Q150" s="32"/>
      <c r="R150" s="33">
        <v>0.42499999999999999</v>
      </c>
      <c r="S150" s="34">
        <v>2</v>
      </c>
      <c r="T150" s="34">
        <v>1740</v>
      </c>
      <c r="U150" s="32"/>
      <c r="V150" s="33">
        <v>0.42299999999999999</v>
      </c>
      <c r="W150" s="34">
        <v>2</v>
      </c>
      <c r="X150" s="34">
        <v>1680</v>
      </c>
      <c r="Y150" s="32"/>
      <c r="Z150" s="33">
        <v>0.57499999999999996</v>
      </c>
      <c r="AA150" s="34">
        <v>2</v>
      </c>
      <c r="AB150" s="34">
        <v>1680</v>
      </c>
      <c r="AC150" s="32"/>
      <c r="AD150" s="33">
        <v>0.64900000000000002</v>
      </c>
      <c r="AE150" s="34">
        <v>2</v>
      </c>
      <c r="AF150" s="34">
        <v>1758</v>
      </c>
      <c r="AG150" s="32"/>
      <c r="AH150" s="33">
        <v>0.82399999999999995</v>
      </c>
      <c r="AI150" s="34">
        <v>2</v>
      </c>
      <c r="AJ150" s="34">
        <v>1740</v>
      </c>
      <c r="AL150" s="33">
        <v>0.874</v>
      </c>
      <c r="AM150" s="34">
        <v>2</v>
      </c>
      <c r="AN150" s="34">
        <v>1652</v>
      </c>
    </row>
    <row r="151" spans="1:40" x14ac:dyDescent="0.2">
      <c r="A151" s="32"/>
      <c r="B151" s="32"/>
      <c r="C151" s="32"/>
      <c r="D151" s="32"/>
      <c r="E151" s="32"/>
      <c r="F151" s="32"/>
      <c r="G151" s="32"/>
      <c r="H151" s="32"/>
    </row>
    <row r="152" spans="1:40" x14ac:dyDescent="0.2">
      <c r="A152" s="32"/>
      <c r="B152" s="101" t="s">
        <v>223</v>
      </c>
      <c r="C152" s="101"/>
      <c r="D152" s="101"/>
      <c r="E152" s="32"/>
      <c r="F152" s="101" t="s">
        <v>205</v>
      </c>
      <c r="G152" s="101"/>
      <c r="H152" s="101"/>
      <c r="I152" s="32"/>
      <c r="J152" s="101" t="s">
        <v>177</v>
      </c>
      <c r="K152" s="101"/>
      <c r="L152" s="101"/>
      <c r="M152" s="32"/>
      <c r="N152" s="101" t="s">
        <v>163</v>
      </c>
      <c r="O152" s="101"/>
      <c r="P152" s="101"/>
      <c r="Q152" s="32"/>
      <c r="R152" s="101" t="s">
        <v>148</v>
      </c>
      <c r="S152" s="101"/>
      <c r="T152" s="101"/>
      <c r="U152" s="32"/>
      <c r="V152" s="101" t="s">
        <v>125</v>
      </c>
      <c r="W152" s="101"/>
      <c r="X152" s="101"/>
      <c r="Y152" s="32"/>
      <c r="Z152" s="101" t="s">
        <v>119</v>
      </c>
      <c r="AA152" s="101"/>
      <c r="AB152" s="101"/>
      <c r="AC152" s="32"/>
      <c r="AD152" s="101" t="s">
        <v>91</v>
      </c>
      <c r="AE152" s="101"/>
      <c r="AF152" s="101"/>
      <c r="AG152" s="32"/>
      <c r="AH152" s="101" t="s">
        <v>90</v>
      </c>
      <c r="AI152" s="101"/>
      <c r="AJ152" s="101"/>
      <c r="AL152" s="101" t="s">
        <v>92</v>
      </c>
      <c r="AM152" s="101"/>
      <c r="AN152" s="101"/>
    </row>
    <row r="153" spans="1:40" ht="45" x14ac:dyDescent="0.2">
      <c r="A153" s="32"/>
      <c r="B153" s="25" t="s">
        <v>4</v>
      </c>
      <c r="C153" s="26" t="s">
        <v>77</v>
      </c>
      <c r="D153" s="26" t="s">
        <v>70</v>
      </c>
      <c r="E153" s="32"/>
      <c r="F153" s="25" t="s">
        <v>4</v>
      </c>
      <c r="G153" s="26" t="s">
        <v>77</v>
      </c>
      <c r="H153" s="26" t="s">
        <v>70</v>
      </c>
      <c r="I153" s="32"/>
      <c r="J153" s="25" t="s">
        <v>4</v>
      </c>
      <c r="K153" s="26" t="s">
        <v>77</v>
      </c>
      <c r="L153" s="26" t="s">
        <v>70</v>
      </c>
      <c r="M153" s="32"/>
      <c r="N153" s="25" t="s">
        <v>4</v>
      </c>
      <c r="O153" s="26" t="s">
        <v>77</v>
      </c>
      <c r="P153" s="26" t="s">
        <v>70</v>
      </c>
      <c r="Q153" s="32"/>
      <c r="R153" s="25" t="s">
        <v>4</v>
      </c>
      <c r="S153" s="26" t="s">
        <v>77</v>
      </c>
      <c r="T153" s="26" t="s">
        <v>70</v>
      </c>
      <c r="U153" s="32"/>
      <c r="V153" s="25" t="s">
        <v>4</v>
      </c>
      <c r="W153" s="26" t="s">
        <v>77</v>
      </c>
      <c r="X153" s="26" t="s">
        <v>70</v>
      </c>
      <c r="Y153" s="32"/>
      <c r="Z153" s="25" t="s">
        <v>4</v>
      </c>
      <c r="AA153" s="26" t="s">
        <v>77</v>
      </c>
      <c r="AB153" s="26" t="s">
        <v>70</v>
      </c>
      <c r="AC153" s="32"/>
      <c r="AD153" s="25" t="s">
        <v>4</v>
      </c>
      <c r="AE153" s="26" t="s">
        <v>77</v>
      </c>
      <c r="AF153" s="26" t="s">
        <v>70</v>
      </c>
      <c r="AG153" s="32"/>
      <c r="AH153" s="25" t="s">
        <v>4</v>
      </c>
      <c r="AI153" s="26" t="s">
        <v>77</v>
      </c>
      <c r="AJ153" s="26" t="s">
        <v>70</v>
      </c>
      <c r="AL153" s="25" t="s">
        <v>4</v>
      </c>
      <c r="AM153" s="26" t="s">
        <v>77</v>
      </c>
      <c r="AN153" s="26" t="s">
        <v>70</v>
      </c>
    </row>
    <row r="154" spans="1:40" x14ac:dyDescent="0.2">
      <c r="A154" s="27" t="s">
        <v>47</v>
      </c>
      <c r="B154" s="33">
        <v>0.67500000000000004</v>
      </c>
      <c r="C154" s="34">
        <v>33</v>
      </c>
      <c r="D154" s="34">
        <v>95294</v>
      </c>
      <c r="E154" s="32"/>
      <c r="F154" s="33">
        <v>0.621</v>
      </c>
      <c r="G154" s="34">
        <v>33</v>
      </c>
      <c r="H154" s="34">
        <v>95992</v>
      </c>
      <c r="I154" s="32"/>
      <c r="J154" s="33">
        <v>0.72799999999999998</v>
      </c>
      <c r="K154" s="34">
        <v>31</v>
      </c>
      <c r="L154" s="34">
        <v>93825</v>
      </c>
      <c r="M154" s="32"/>
      <c r="N154" s="33">
        <v>0.67400000000000004</v>
      </c>
      <c r="O154" s="34">
        <v>30</v>
      </c>
      <c r="P154" s="34">
        <v>93490</v>
      </c>
      <c r="Q154" s="32"/>
      <c r="R154" s="33">
        <v>0.64600000000000002</v>
      </c>
      <c r="S154" s="34">
        <v>29</v>
      </c>
      <c r="T154" s="34">
        <v>92906</v>
      </c>
      <c r="U154" s="32"/>
      <c r="V154" s="33">
        <v>0.64900000000000002</v>
      </c>
      <c r="W154" s="34">
        <v>28</v>
      </c>
      <c r="X154" s="34">
        <v>92411</v>
      </c>
      <c r="Y154" s="32"/>
      <c r="Z154" s="33">
        <v>0.58199999999999996</v>
      </c>
      <c r="AA154" s="34">
        <v>27</v>
      </c>
      <c r="AB154" s="34">
        <v>89559</v>
      </c>
      <c r="AC154" s="32"/>
      <c r="AD154" s="33">
        <v>0.625</v>
      </c>
      <c r="AE154" s="34">
        <v>26</v>
      </c>
      <c r="AF154" s="34">
        <v>82318</v>
      </c>
      <c r="AG154" s="32"/>
      <c r="AH154" s="33">
        <v>0.74</v>
      </c>
      <c r="AI154" s="34">
        <v>26</v>
      </c>
      <c r="AJ154" s="34">
        <v>79623</v>
      </c>
      <c r="AL154" s="28">
        <v>0.77700000000000002</v>
      </c>
      <c r="AM154" s="29">
        <v>22</v>
      </c>
      <c r="AN154" s="29">
        <v>60667</v>
      </c>
    </row>
    <row r="155" spans="1:40" x14ac:dyDescent="0.2">
      <c r="A155" s="27"/>
      <c r="B155" s="33"/>
      <c r="C155" s="34"/>
      <c r="D155" s="34"/>
      <c r="E155" s="32"/>
      <c r="F155" s="33"/>
      <c r="G155" s="34"/>
      <c r="H155" s="34"/>
      <c r="I155" s="32"/>
      <c r="J155" s="33"/>
      <c r="K155" s="34"/>
      <c r="L155" s="34"/>
      <c r="M155" s="32"/>
      <c r="N155" s="33"/>
      <c r="O155" s="34"/>
      <c r="P155" s="34"/>
      <c r="Q155" s="32"/>
      <c r="R155" s="33"/>
      <c r="S155" s="34"/>
      <c r="T155" s="34"/>
      <c r="U155" s="32"/>
      <c r="V155" s="33"/>
      <c r="W155" s="34"/>
      <c r="X155" s="34"/>
      <c r="Y155" s="32"/>
      <c r="Z155" s="33"/>
      <c r="AA155" s="34"/>
      <c r="AB155" s="34"/>
      <c r="AC155" s="32"/>
      <c r="AD155" s="33"/>
      <c r="AE155" s="34"/>
      <c r="AF155" s="34"/>
      <c r="AG155" s="32"/>
      <c r="AH155" s="33"/>
      <c r="AI155" s="34"/>
      <c r="AJ155" s="34"/>
      <c r="AL155" s="28"/>
      <c r="AM155" s="30"/>
      <c r="AN155" s="29"/>
    </row>
    <row r="156" spans="1:40" x14ac:dyDescent="0.2">
      <c r="A156" s="27" t="s">
        <v>53</v>
      </c>
      <c r="B156" s="33">
        <v>0.63900000000000001</v>
      </c>
      <c r="C156" s="34">
        <v>7</v>
      </c>
      <c r="D156" s="34">
        <v>58404</v>
      </c>
      <c r="E156" s="32"/>
      <c r="F156" s="33">
        <v>0.58399999999999996</v>
      </c>
      <c r="G156" s="34">
        <v>7</v>
      </c>
      <c r="H156" s="34">
        <v>59355</v>
      </c>
      <c r="I156" s="32"/>
      <c r="J156" s="33">
        <v>0.72899999999999998</v>
      </c>
      <c r="K156" s="34">
        <v>7</v>
      </c>
      <c r="L156" s="34">
        <v>60109</v>
      </c>
      <c r="M156" s="32"/>
      <c r="N156" s="33">
        <v>0.68600000000000005</v>
      </c>
      <c r="O156" s="34">
        <v>7</v>
      </c>
      <c r="P156" s="34">
        <v>60278</v>
      </c>
      <c r="Q156" s="32"/>
      <c r="R156" s="33">
        <v>0.63900000000000001</v>
      </c>
      <c r="S156" s="34">
        <v>7</v>
      </c>
      <c r="T156" s="34">
        <v>54591</v>
      </c>
      <c r="U156" s="32"/>
      <c r="V156" s="33">
        <v>0.65700000000000003</v>
      </c>
      <c r="W156" s="34">
        <v>6</v>
      </c>
      <c r="X156" s="34">
        <v>54684</v>
      </c>
      <c r="Y156" s="32"/>
      <c r="Z156" s="33">
        <v>0.57599999999999996</v>
      </c>
      <c r="AA156" s="34">
        <v>6</v>
      </c>
      <c r="AB156" s="34">
        <v>54684</v>
      </c>
      <c r="AC156" s="32"/>
      <c r="AD156" s="33">
        <v>0.64</v>
      </c>
      <c r="AE156" s="34">
        <v>6</v>
      </c>
      <c r="AF156" s="34">
        <v>47275</v>
      </c>
      <c r="AG156" s="32"/>
      <c r="AH156" s="33">
        <v>0.75700000000000001</v>
      </c>
      <c r="AI156" s="34">
        <v>5</v>
      </c>
      <c r="AJ156" s="34">
        <v>43865</v>
      </c>
      <c r="AL156" s="28">
        <v>0.76400000000000001</v>
      </c>
      <c r="AM156" s="29">
        <v>5</v>
      </c>
      <c r="AN156" s="29">
        <v>34875</v>
      </c>
    </row>
    <row r="157" spans="1:40" x14ac:dyDescent="0.2">
      <c r="A157" s="27" t="s">
        <v>50</v>
      </c>
      <c r="B157" s="33">
        <v>0.69</v>
      </c>
      <c r="C157" s="34">
        <v>9</v>
      </c>
      <c r="D157" s="34">
        <v>21080</v>
      </c>
      <c r="E157" s="32"/>
      <c r="F157" s="33">
        <v>0.64600000000000002</v>
      </c>
      <c r="G157" s="34">
        <v>9</v>
      </c>
      <c r="H157" s="34">
        <v>21173</v>
      </c>
      <c r="I157" s="32"/>
      <c r="J157" s="33">
        <v>0.70499999999999996</v>
      </c>
      <c r="K157" s="34">
        <v>9</v>
      </c>
      <c r="L157" s="34">
        <v>21172</v>
      </c>
      <c r="M157" s="32"/>
      <c r="N157" s="33">
        <v>0.623</v>
      </c>
      <c r="O157" s="34">
        <v>9</v>
      </c>
      <c r="P157" s="34">
        <v>21164</v>
      </c>
      <c r="Q157" s="32"/>
      <c r="R157" s="33">
        <v>0.68</v>
      </c>
      <c r="S157" s="34">
        <v>9</v>
      </c>
      <c r="T157" s="34">
        <v>23280</v>
      </c>
      <c r="U157" s="32"/>
      <c r="V157" s="33">
        <v>0.623</v>
      </c>
      <c r="W157" s="34">
        <v>9</v>
      </c>
      <c r="X157" s="34">
        <v>23281</v>
      </c>
      <c r="Y157" s="32"/>
      <c r="Z157" s="33">
        <v>0.59599999999999997</v>
      </c>
      <c r="AA157" s="34">
        <v>7</v>
      </c>
      <c r="AB157" s="34">
        <v>19902</v>
      </c>
      <c r="AC157" s="32"/>
      <c r="AD157" s="33">
        <v>0.59199999999999997</v>
      </c>
      <c r="AE157" s="34">
        <v>7</v>
      </c>
      <c r="AF157" s="34">
        <v>20274</v>
      </c>
      <c r="AG157" s="32"/>
      <c r="AH157" s="33">
        <v>0.747</v>
      </c>
      <c r="AI157" s="34">
        <v>11</v>
      </c>
      <c r="AJ157" s="34">
        <v>26753</v>
      </c>
      <c r="AL157" s="28">
        <v>0.83</v>
      </c>
      <c r="AM157" s="29">
        <v>9</v>
      </c>
      <c r="AN157" s="29">
        <v>18569</v>
      </c>
    </row>
    <row r="158" spans="1:40" x14ac:dyDescent="0.2">
      <c r="A158" s="27" t="s">
        <v>51</v>
      </c>
      <c r="B158" s="33">
        <v>0.78700000000000003</v>
      </c>
      <c r="C158" s="34">
        <v>17</v>
      </c>
      <c r="D158" s="34">
        <v>15810</v>
      </c>
      <c r="E158" s="32"/>
      <c r="F158" s="33">
        <v>0.73699999999999999</v>
      </c>
      <c r="G158" s="34">
        <v>17</v>
      </c>
      <c r="H158" s="34">
        <v>14834</v>
      </c>
      <c r="I158" s="32"/>
      <c r="J158" s="33">
        <v>0.76300000000000001</v>
      </c>
      <c r="K158" s="34">
        <v>15</v>
      </c>
      <c r="L158" s="34">
        <v>12544</v>
      </c>
      <c r="M158" s="32"/>
      <c r="N158" s="33">
        <v>0.69799999999999995</v>
      </c>
      <c r="O158" s="34">
        <v>14</v>
      </c>
      <c r="P158" s="34">
        <v>12048</v>
      </c>
      <c r="Q158" s="32"/>
      <c r="R158" s="33">
        <v>0.621</v>
      </c>
      <c r="S158" s="34">
        <v>13</v>
      </c>
      <c r="T158" s="34">
        <v>15035</v>
      </c>
      <c r="U158" s="32"/>
      <c r="V158" s="33">
        <v>0.66</v>
      </c>
      <c r="W158" s="34">
        <v>13</v>
      </c>
      <c r="X158" s="34">
        <v>14446</v>
      </c>
      <c r="Y158" s="32"/>
      <c r="Z158" s="33">
        <v>0.58799999999999997</v>
      </c>
      <c r="AA158" s="34">
        <v>14</v>
      </c>
      <c r="AB158" s="34">
        <v>14973</v>
      </c>
      <c r="AC158" s="32"/>
      <c r="AD158" s="33">
        <v>0.61899999999999999</v>
      </c>
      <c r="AE158" s="34">
        <v>13</v>
      </c>
      <c r="AF158" s="34">
        <v>14769</v>
      </c>
      <c r="AG158" s="32"/>
      <c r="AH158" s="33">
        <v>0.63700000000000001</v>
      </c>
      <c r="AI158" s="34">
        <v>10</v>
      </c>
      <c r="AJ158" s="34">
        <v>9005</v>
      </c>
      <c r="AL158" s="28">
        <v>0.69899999999999995</v>
      </c>
      <c r="AM158" s="29">
        <v>8</v>
      </c>
      <c r="AN158" s="29">
        <v>7223</v>
      </c>
    </row>
    <row r="159" spans="1:40" x14ac:dyDescent="0.2">
      <c r="A159" s="27"/>
      <c r="B159" s="33"/>
      <c r="C159" s="34"/>
      <c r="D159" s="34"/>
      <c r="E159" s="32"/>
      <c r="F159" s="33"/>
      <c r="G159" s="34"/>
      <c r="H159" s="34"/>
      <c r="I159" s="32"/>
      <c r="J159" s="33"/>
      <c r="K159" s="34"/>
      <c r="L159" s="34"/>
      <c r="M159" s="32"/>
      <c r="N159" s="33"/>
      <c r="O159" s="34"/>
      <c r="P159" s="34"/>
      <c r="Q159" s="32"/>
      <c r="R159" s="33"/>
      <c r="S159" s="34"/>
      <c r="T159" s="34"/>
      <c r="U159" s="32"/>
      <c r="V159" s="33"/>
      <c r="W159" s="34"/>
      <c r="X159" s="34"/>
      <c r="Y159" s="32"/>
      <c r="Z159" s="33"/>
      <c r="AA159" s="34"/>
      <c r="AB159" s="34"/>
      <c r="AC159" s="32"/>
      <c r="AD159" s="33"/>
      <c r="AE159" s="34"/>
      <c r="AF159" s="34"/>
      <c r="AG159" s="32"/>
      <c r="AH159" s="33"/>
      <c r="AI159" s="34"/>
      <c r="AJ159" s="34"/>
      <c r="AL159" s="28"/>
      <c r="AM159" s="29"/>
      <c r="AN159" s="29"/>
    </row>
    <row r="160" spans="1:40" x14ac:dyDescent="0.2">
      <c r="A160" s="27" t="s">
        <v>43</v>
      </c>
      <c r="B160" s="33">
        <v>0.76900000000000002</v>
      </c>
      <c r="C160" s="34">
        <v>7</v>
      </c>
      <c r="D160" s="34">
        <v>14167</v>
      </c>
      <c r="E160" s="32"/>
      <c r="F160" s="33">
        <v>0.75800000000000001</v>
      </c>
      <c r="G160" s="34">
        <v>7</v>
      </c>
      <c r="H160" s="34">
        <v>14260</v>
      </c>
      <c r="I160" s="32"/>
      <c r="J160" s="33">
        <v>0.77300000000000002</v>
      </c>
      <c r="K160" s="34">
        <v>7</v>
      </c>
      <c r="L160" s="34">
        <v>14260</v>
      </c>
      <c r="M160" s="32"/>
      <c r="N160" s="33">
        <v>0.72899999999999998</v>
      </c>
      <c r="O160" s="34">
        <v>7</v>
      </c>
      <c r="P160" s="34">
        <v>14252</v>
      </c>
      <c r="Q160" s="32"/>
      <c r="R160" s="33">
        <v>0.70199999999999996</v>
      </c>
      <c r="S160" s="34">
        <v>7</v>
      </c>
      <c r="T160" s="34">
        <v>14260</v>
      </c>
      <c r="U160" s="32"/>
      <c r="V160" s="33">
        <v>0.69599999999999995</v>
      </c>
      <c r="W160" s="34">
        <v>7</v>
      </c>
      <c r="X160" s="34">
        <v>14260</v>
      </c>
      <c r="Y160" s="32"/>
      <c r="Z160" s="33">
        <v>0.62</v>
      </c>
      <c r="AA160" s="34">
        <v>6</v>
      </c>
      <c r="AB160" s="34">
        <v>12834</v>
      </c>
      <c r="AC160" s="32"/>
      <c r="AD160" s="33">
        <v>0.63100000000000001</v>
      </c>
      <c r="AE160" s="34">
        <v>6</v>
      </c>
      <c r="AF160" s="34">
        <v>13206</v>
      </c>
      <c r="AG160" s="32"/>
      <c r="AH160" s="33">
        <v>0.79100000000000004</v>
      </c>
      <c r="AI160" s="34">
        <v>7</v>
      </c>
      <c r="AJ160" s="34">
        <v>14260</v>
      </c>
      <c r="AL160" s="28">
        <v>0.83699999999999997</v>
      </c>
      <c r="AM160" s="29">
        <v>7</v>
      </c>
      <c r="AN160" s="29">
        <v>12183</v>
      </c>
    </row>
    <row r="161" spans="1:40" x14ac:dyDescent="0.2">
      <c r="A161" s="27" t="s">
        <v>49</v>
      </c>
      <c r="B161" s="33">
        <v>0.65400000000000003</v>
      </c>
      <c r="C161" s="34">
        <v>21</v>
      </c>
      <c r="D161" s="34">
        <v>75485</v>
      </c>
      <c r="E161" s="32"/>
      <c r="F161" s="33">
        <v>0.59799999999999998</v>
      </c>
      <c r="G161" s="34">
        <v>21</v>
      </c>
      <c r="H161" s="34">
        <v>75828</v>
      </c>
      <c r="I161" s="32"/>
      <c r="J161" s="33">
        <v>0.72599999999999998</v>
      </c>
      <c r="K161" s="34">
        <v>20</v>
      </c>
      <c r="L161" s="34">
        <v>76806</v>
      </c>
      <c r="M161" s="32"/>
      <c r="N161" s="33">
        <v>0.67300000000000004</v>
      </c>
      <c r="O161" s="34">
        <v>20</v>
      </c>
      <c r="P161" s="34">
        <v>76944</v>
      </c>
      <c r="Q161" s="32"/>
      <c r="R161" s="33">
        <v>0.64400000000000002</v>
      </c>
      <c r="S161" s="34">
        <v>20</v>
      </c>
      <c r="T161" s="34">
        <v>76786</v>
      </c>
      <c r="U161" s="32"/>
      <c r="V161" s="33">
        <v>0.64500000000000002</v>
      </c>
      <c r="W161" s="34">
        <v>19</v>
      </c>
      <c r="X161" s="34">
        <v>76291</v>
      </c>
      <c r="Y161" s="32"/>
      <c r="Z161" s="33">
        <v>0.57699999999999996</v>
      </c>
      <c r="AA161" s="34">
        <v>19</v>
      </c>
      <c r="AB161" s="34">
        <v>74865</v>
      </c>
      <c r="AC161" s="32"/>
      <c r="AD161" s="33">
        <v>0.624</v>
      </c>
      <c r="AE161" s="34">
        <v>18</v>
      </c>
      <c r="AF161" s="34">
        <v>67252</v>
      </c>
      <c r="AG161" s="32"/>
      <c r="AH161" s="33">
        <v>0.73</v>
      </c>
      <c r="AI161" s="34">
        <v>17</v>
      </c>
      <c r="AJ161" s="34">
        <v>63503</v>
      </c>
      <c r="AL161" s="28">
        <v>0.76100000000000001</v>
      </c>
      <c r="AM161" s="29">
        <v>14</v>
      </c>
      <c r="AN161" s="29">
        <v>48050</v>
      </c>
    </row>
    <row r="162" spans="1:40" x14ac:dyDescent="0.2">
      <c r="A162" s="27" t="s">
        <v>45</v>
      </c>
      <c r="B162" s="33">
        <v>0.72199999999999998</v>
      </c>
      <c r="C162" s="34">
        <v>5</v>
      </c>
      <c r="D162" s="34">
        <v>5642</v>
      </c>
      <c r="E162" s="32"/>
      <c r="F162" s="33">
        <v>0.57599999999999996</v>
      </c>
      <c r="G162" s="34">
        <v>5</v>
      </c>
      <c r="H162" s="34">
        <v>4274</v>
      </c>
      <c r="I162" s="32"/>
      <c r="J162" s="33">
        <v>0.55600000000000005</v>
      </c>
      <c r="K162" s="34">
        <v>4</v>
      </c>
      <c r="L162" s="34">
        <v>2759</v>
      </c>
      <c r="M162" s="32"/>
      <c r="N162" s="33">
        <v>0.33400000000000002</v>
      </c>
      <c r="O162" s="34">
        <v>3</v>
      </c>
      <c r="P162" s="34">
        <v>2294</v>
      </c>
      <c r="Q162" s="32"/>
      <c r="R162" s="33">
        <v>0.33900000000000002</v>
      </c>
      <c r="S162" s="34">
        <v>2</v>
      </c>
      <c r="T162" s="34">
        <v>1860</v>
      </c>
      <c r="U162" s="32"/>
      <c r="V162" s="33">
        <v>0.436</v>
      </c>
      <c r="W162" s="34">
        <v>2</v>
      </c>
      <c r="X162" s="34">
        <v>1860</v>
      </c>
      <c r="Y162" s="32"/>
      <c r="Z162" s="33">
        <v>0.51300000000000001</v>
      </c>
      <c r="AA162" s="34">
        <v>2</v>
      </c>
      <c r="AB162" s="34">
        <v>1860</v>
      </c>
      <c r="AC162" s="32"/>
      <c r="AD162" s="33">
        <v>0.60199999999999998</v>
      </c>
      <c r="AE162" s="34">
        <v>2</v>
      </c>
      <c r="AF162" s="34">
        <v>1860</v>
      </c>
      <c r="AG162" s="32"/>
      <c r="AH162" s="33">
        <v>0.70599999999999996</v>
      </c>
      <c r="AI162" s="34">
        <v>2</v>
      </c>
      <c r="AJ162" s="34">
        <v>1860</v>
      </c>
      <c r="AL162" s="28">
        <v>0.84799999999999998</v>
      </c>
      <c r="AM162" s="29">
        <v>1</v>
      </c>
      <c r="AN162" s="29">
        <v>434</v>
      </c>
    </row>
    <row r="163" spans="1:40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</row>
  </sheetData>
  <mergeCells count="116">
    <mergeCell ref="AL104:AN104"/>
    <mergeCell ref="AL92:AN92"/>
    <mergeCell ref="AH116:AJ116"/>
    <mergeCell ref="AD128:AF128"/>
    <mergeCell ref="AH5:AJ5"/>
    <mergeCell ref="AH140:AJ140"/>
    <mergeCell ref="AD18:AF18"/>
    <mergeCell ref="AD5:AF5"/>
    <mergeCell ref="AH92:AJ92"/>
    <mergeCell ref="AH68:AJ68"/>
    <mergeCell ref="AH56:AJ56"/>
    <mergeCell ref="AH44:AJ44"/>
    <mergeCell ref="AH31:AJ31"/>
    <mergeCell ref="AH18:AJ18"/>
    <mergeCell ref="AL116:AN116"/>
    <mergeCell ref="AH152:AJ152"/>
    <mergeCell ref="AL5:AN5"/>
    <mergeCell ref="AL140:AN140"/>
    <mergeCell ref="AH128:AJ128"/>
    <mergeCell ref="J104:L104"/>
    <mergeCell ref="R152:T152"/>
    <mergeCell ref="AD44:AF44"/>
    <mergeCell ref="AD56:AF56"/>
    <mergeCell ref="AD140:AF140"/>
    <mergeCell ref="Z5:AB5"/>
    <mergeCell ref="R44:T44"/>
    <mergeCell ref="R56:T56"/>
    <mergeCell ref="Z44:AB44"/>
    <mergeCell ref="V18:X18"/>
    <mergeCell ref="V5:X5"/>
    <mergeCell ref="R5:T5"/>
    <mergeCell ref="V31:X31"/>
    <mergeCell ref="V56:X56"/>
    <mergeCell ref="V44:X44"/>
    <mergeCell ref="Z18:AB18"/>
    <mergeCell ref="Z31:AB31"/>
    <mergeCell ref="AL152:AN152"/>
    <mergeCell ref="AH104:AJ104"/>
    <mergeCell ref="R18:T18"/>
    <mergeCell ref="R104:T104"/>
    <mergeCell ref="V140:X140"/>
    <mergeCell ref="V116:X116"/>
    <mergeCell ref="R31:T31"/>
    <mergeCell ref="AD152:AF152"/>
    <mergeCell ref="R92:T92"/>
    <mergeCell ref="N116:P116"/>
    <mergeCell ref="V152:X152"/>
    <mergeCell ref="N104:P104"/>
    <mergeCell ref="R116:T116"/>
    <mergeCell ref="N152:P152"/>
    <mergeCell ref="R140:T140"/>
    <mergeCell ref="R128:T128"/>
    <mergeCell ref="V128:X128"/>
    <mergeCell ref="N128:P128"/>
    <mergeCell ref="N140:P140"/>
    <mergeCell ref="V92:X92"/>
    <mergeCell ref="V104:X104"/>
    <mergeCell ref="N92:P92"/>
    <mergeCell ref="Z152:AB152"/>
    <mergeCell ref="Z116:AB116"/>
    <mergeCell ref="AD104:AF104"/>
    <mergeCell ref="R68:T68"/>
    <mergeCell ref="F68:H68"/>
    <mergeCell ref="F56:H56"/>
    <mergeCell ref="B5:D5"/>
    <mergeCell ref="F5:H5"/>
    <mergeCell ref="N5:P5"/>
    <mergeCell ref="B18:D18"/>
    <mergeCell ref="F18:H18"/>
    <mergeCell ref="N31:P31"/>
    <mergeCell ref="N44:P44"/>
    <mergeCell ref="J44:L44"/>
    <mergeCell ref="J5:L5"/>
    <mergeCell ref="J18:L18"/>
    <mergeCell ref="N18:P18"/>
    <mergeCell ref="B44:D44"/>
    <mergeCell ref="F44:H44"/>
    <mergeCell ref="B31:D31"/>
    <mergeCell ref="F31:H31"/>
    <mergeCell ref="J31:L31"/>
    <mergeCell ref="J68:L68"/>
    <mergeCell ref="N68:P68"/>
    <mergeCell ref="B116:D116"/>
    <mergeCell ref="B152:D152"/>
    <mergeCell ref="F140:H140"/>
    <mergeCell ref="B128:D128"/>
    <mergeCell ref="F152:H152"/>
    <mergeCell ref="F128:H128"/>
    <mergeCell ref="J152:L152"/>
    <mergeCell ref="F92:H92"/>
    <mergeCell ref="B92:D92"/>
    <mergeCell ref="J92:L92"/>
    <mergeCell ref="B68:D68"/>
    <mergeCell ref="B56:D56"/>
    <mergeCell ref="AD68:AF68"/>
    <mergeCell ref="AD31:AF31"/>
    <mergeCell ref="Z140:AB140"/>
    <mergeCell ref="Z128:AB128"/>
    <mergeCell ref="Z56:AB56"/>
    <mergeCell ref="Z68:AB68"/>
    <mergeCell ref="Z104:AB104"/>
    <mergeCell ref="Z92:AB92"/>
    <mergeCell ref="V68:X68"/>
    <mergeCell ref="AD92:AF92"/>
    <mergeCell ref="AD116:AF116"/>
    <mergeCell ref="N56:P56"/>
    <mergeCell ref="J56:L56"/>
    <mergeCell ref="B104:D104"/>
    <mergeCell ref="F104:H104"/>
    <mergeCell ref="B80:D80"/>
    <mergeCell ref="F80:H80"/>
    <mergeCell ref="J140:L140"/>
    <mergeCell ref="J128:L128"/>
    <mergeCell ref="B140:D140"/>
    <mergeCell ref="J116:L116"/>
    <mergeCell ref="F116:H116"/>
  </mergeCells>
  <phoneticPr fontId="3" type="noConversion"/>
  <pageMargins left="0.74803149606299213" right="0.74803149606299213" top="0.43307086614173229" bottom="0.39370078740157483" header="0.51181102362204722" footer="0.51181102362204722"/>
  <pageSetup scale="60" fitToHeight="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8"/>
  <sheetViews>
    <sheetView zoomScale="115" zoomScaleNormal="115" workbookViewId="0">
      <selection activeCell="O15" sqref="O15"/>
    </sheetView>
  </sheetViews>
  <sheetFormatPr defaultRowHeight="12.75" x14ac:dyDescent="0.2"/>
  <cols>
    <col min="1" max="1" width="10.28515625" customWidth="1"/>
    <col min="2" max="6" width="9.28515625" bestFit="1" customWidth="1"/>
    <col min="11" max="15" width="9.28515625" bestFit="1" customWidth="1"/>
  </cols>
  <sheetData>
    <row r="3" spans="1:15" x14ac:dyDescent="0.2">
      <c r="A3" s="103" t="s">
        <v>66</v>
      </c>
      <c r="B3" s="103"/>
      <c r="C3" s="103"/>
      <c r="D3" s="103"/>
      <c r="E3" s="103"/>
      <c r="F3" s="103"/>
      <c r="G3" s="103"/>
      <c r="H3" s="103"/>
      <c r="I3" s="103"/>
    </row>
    <row r="5" spans="1:15" x14ac:dyDescent="0.2">
      <c r="B5" s="19">
        <v>2000</v>
      </c>
      <c r="C5" s="19">
        <v>2001</v>
      </c>
      <c r="D5" s="19">
        <v>2002</v>
      </c>
      <c r="E5" s="19">
        <v>2003</v>
      </c>
      <c r="F5" s="19">
        <v>2004</v>
      </c>
      <c r="G5" s="19">
        <v>2005</v>
      </c>
      <c r="H5" s="19">
        <v>2006</v>
      </c>
      <c r="I5" s="19">
        <v>2007</v>
      </c>
      <c r="J5" s="19">
        <v>2008</v>
      </c>
      <c r="K5" s="19">
        <v>2009</v>
      </c>
      <c r="L5" s="19">
        <v>2010</v>
      </c>
      <c r="M5" s="19">
        <v>2011</v>
      </c>
      <c r="N5" s="19">
        <v>2012</v>
      </c>
      <c r="O5" s="19">
        <v>2013</v>
      </c>
    </row>
    <row r="6" spans="1:15" x14ac:dyDescent="0.2">
      <c r="A6" s="5" t="s">
        <v>46</v>
      </c>
      <c r="B6" s="21">
        <v>0.64190000000000003</v>
      </c>
      <c r="C6" s="21">
        <v>0.56110000000000004</v>
      </c>
      <c r="D6" s="21">
        <v>0.496</v>
      </c>
      <c r="E6" s="21">
        <v>0.5726</v>
      </c>
      <c r="F6" s="21">
        <v>0.66</v>
      </c>
      <c r="G6" s="21">
        <v>0.78</v>
      </c>
      <c r="H6" s="21"/>
      <c r="I6" s="21">
        <v>0.77</v>
      </c>
      <c r="J6" s="21">
        <v>0.74099999999999999</v>
      </c>
      <c r="K6" s="21">
        <v>0.625</v>
      </c>
      <c r="L6" s="21">
        <v>0.58199999999999996</v>
      </c>
      <c r="M6" s="21">
        <v>0.64900000000000002</v>
      </c>
      <c r="N6" s="21">
        <v>0.64600000000000002</v>
      </c>
      <c r="O6" s="21">
        <v>0.67400000000000004</v>
      </c>
    </row>
    <row r="7" spans="1:15" x14ac:dyDescent="0.2">
      <c r="A7" s="5" t="s">
        <v>52</v>
      </c>
      <c r="B7" s="21">
        <v>0.67930000000000001</v>
      </c>
      <c r="C7" s="21">
        <v>0.60209999999999997</v>
      </c>
      <c r="D7" s="21">
        <v>0.54290000000000005</v>
      </c>
      <c r="E7" s="21">
        <v>0.6159</v>
      </c>
      <c r="F7" s="21">
        <v>0.7</v>
      </c>
      <c r="G7" s="21">
        <v>0.83</v>
      </c>
      <c r="H7" s="21"/>
      <c r="I7" s="21">
        <v>0.85899999999999999</v>
      </c>
      <c r="J7" s="21">
        <v>0.81100000000000005</v>
      </c>
      <c r="K7" s="21">
        <v>0.73899999999999999</v>
      </c>
      <c r="L7" s="21">
        <v>0.66800000000000004</v>
      </c>
      <c r="M7" s="21">
        <v>0.72899999999999998</v>
      </c>
      <c r="N7" s="21">
        <v>0.70799999999999996</v>
      </c>
      <c r="O7" s="21">
        <v>0.76400000000000001</v>
      </c>
    </row>
    <row r="8" spans="1:15" x14ac:dyDescent="0.2">
      <c r="A8" s="5" t="s">
        <v>54</v>
      </c>
      <c r="B8" s="21">
        <v>0.61950000000000005</v>
      </c>
      <c r="C8" s="21">
        <v>0.53259999999999996</v>
      </c>
      <c r="D8" s="21">
        <v>0.6079</v>
      </c>
      <c r="E8" s="21">
        <v>0.53610000000000002</v>
      </c>
      <c r="F8" s="21">
        <v>0.65</v>
      </c>
      <c r="G8" s="21">
        <v>0.77</v>
      </c>
      <c r="H8" s="21"/>
      <c r="I8" s="21">
        <v>0.74099999999999999</v>
      </c>
      <c r="J8" s="21">
        <v>0.72699999999999998</v>
      </c>
      <c r="K8" s="21">
        <v>0.69299999999999995</v>
      </c>
      <c r="L8" s="21">
        <v>0.65</v>
      </c>
      <c r="M8" s="21">
        <v>0.78500000000000003</v>
      </c>
      <c r="N8" s="21">
        <v>0.68600000000000005</v>
      </c>
      <c r="O8" s="21">
        <v>0.71199999999999997</v>
      </c>
    </row>
    <row r="9" spans="1:15" x14ac:dyDescent="0.2">
      <c r="A9" s="5" t="s">
        <v>56</v>
      </c>
      <c r="B9" s="21">
        <v>0.62270000000000003</v>
      </c>
      <c r="C9" s="21">
        <v>0.52090000000000003</v>
      </c>
      <c r="D9" s="21">
        <v>0.58450000000000002</v>
      </c>
      <c r="E9" s="21">
        <v>0.56969999999999998</v>
      </c>
      <c r="F9" s="21">
        <v>0.77</v>
      </c>
      <c r="G9" s="21"/>
      <c r="H9" s="21"/>
      <c r="I9" s="21">
        <v>0.68500000000000005</v>
      </c>
      <c r="J9" s="21">
        <v>0.72399999999999998</v>
      </c>
      <c r="K9" s="21">
        <v>0.60299999999999998</v>
      </c>
      <c r="L9" s="21">
        <v>0.58399999999999996</v>
      </c>
      <c r="M9" s="21">
        <v>0.61</v>
      </c>
      <c r="N9" s="21">
        <v>0.63800000000000001</v>
      </c>
      <c r="O9" s="21">
        <v>0.61099999999999999</v>
      </c>
    </row>
    <row r="10" spans="1:15" x14ac:dyDescent="0.2">
      <c r="A10" s="5" t="s">
        <v>57</v>
      </c>
      <c r="B10" s="21">
        <v>0.54500000000000004</v>
      </c>
      <c r="C10" s="21">
        <v>0.47260000000000002</v>
      </c>
      <c r="D10" s="21">
        <v>0.5</v>
      </c>
      <c r="E10" s="21">
        <v>0.50490000000000002</v>
      </c>
      <c r="F10" s="21">
        <v>0.48</v>
      </c>
      <c r="G10" s="21"/>
      <c r="H10" s="21"/>
      <c r="I10" s="21">
        <v>0.67500000000000004</v>
      </c>
      <c r="J10" s="21">
        <v>0.63700000000000001</v>
      </c>
      <c r="K10" s="21">
        <v>0.55000000000000004</v>
      </c>
      <c r="L10" s="21">
        <v>0.52700000000000002</v>
      </c>
      <c r="M10" s="21">
        <v>0.52400000000000002</v>
      </c>
      <c r="N10" s="21">
        <v>0.53700000000000003</v>
      </c>
      <c r="O10" s="21">
        <v>0.498</v>
      </c>
    </row>
    <row r="11" spans="1:15" x14ac:dyDescent="0.2">
      <c r="A11" s="5" t="s">
        <v>58</v>
      </c>
      <c r="B11" s="21">
        <v>0.40799999999999997</v>
      </c>
      <c r="C11" s="21">
        <v>0.4355</v>
      </c>
      <c r="D11" s="21">
        <v>0.42949999999999999</v>
      </c>
      <c r="E11" s="21">
        <v>0.42780000000000001</v>
      </c>
      <c r="F11" s="21">
        <v>0.48</v>
      </c>
      <c r="G11" s="21"/>
      <c r="H11" s="21"/>
      <c r="I11" s="21">
        <v>0.57499999999999996</v>
      </c>
      <c r="J11" s="21">
        <v>0.57299999999999995</v>
      </c>
      <c r="K11" s="21">
        <v>0.505</v>
      </c>
      <c r="L11" s="21">
        <v>0.495</v>
      </c>
      <c r="M11" s="21">
        <v>0.51200000000000001</v>
      </c>
      <c r="N11" s="21">
        <v>0.53700000000000003</v>
      </c>
      <c r="O11" s="21">
        <v>0.48099999999999998</v>
      </c>
    </row>
    <row r="12" spans="1:15" x14ac:dyDescent="0.2">
      <c r="A12" s="5" t="s">
        <v>59</v>
      </c>
      <c r="B12" s="21">
        <v>0.38600000000000001</v>
      </c>
      <c r="C12" s="21">
        <v>0.35949999999999999</v>
      </c>
      <c r="D12" s="21">
        <v>0.44979999999999998</v>
      </c>
      <c r="E12" s="21">
        <v>0.45689999999999997</v>
      </c>
      <c r="F12" s="21">
        <v>0.56000000000000005</v>
      </c>
      <c r="G12" s="21"/>
      <c r="H12" s="21"/>
      <c r="I12" s="21">
        <v>0.58599999999999997</v>
      </c>
      <c r="J12" s="21">
        <v>0.58199999999999996</v>
      </c>
      <c r="K12" s="21">
        <v>0.52</v>
      </c>
      <c r="L12" s="21">
        <v>0.46899999999999997</v>
      </c>
      <c r="M12" s="21">
        <v>0.5</v>
      </c>
      <c r="N12" s="21">
        <v>0.55200000000000005</v>
      </c>
      <c r="O12" s="21">
        <v>0.501</v>
      </c>
    </row>
    <row r="13" spans="1:15" x14ac:dyDescent="0.2">
      <c r="A13" s="5" t="s">
        <v>62</v>
      </c>
      <c r="B13" s="21">
        <v>0.3745</v>
      </c>
      <c r="C13" s="21">
        <v>0.4284</v>
      </c>
      <c r="D13" s="21">
        <v>0.52080000000000004</v>
      </c>
      <c r="E13" s="21">
        <v>0.50939999999999996</v>
      </c>
      <c r="F13" s="21">
        <v>0.67</v>
      </c>
      <c r="G13" s="21"/>
      <c r="H13" s="21"/>
      <c r="I13" s="21">
        <v>0.55000000000000004</v>
      </c>
      <c r="J13" s="21">
        <v>0.57799999999999996</v>
      </c>
      <c r="K13" s="21">
        <v>0.498</v>
      </c>
      <c r="L13" s="21">
        <v>0.57499999999999996</v>
      </c>
      <c r="M13" s="21">
        <v>0.57299999999999995</v>
      </c>
      <c r="N13" s="21">
        <v>0.54400000000000004</v>
      </c>
      <c r="O13" s="21">
        <v>0.48799999999999999</v>
      </c>
    </row>
    <row r="14" spans="1:15" x14ac:dyDescent="0.2">
      <c r="A14" s="5" t="s">
        <v>63</v>
      </c>
      <c r="B14" s="21">
        <v>0.34989999999999999</v>
      </c>
      <c r="C14" s="22">
        <v>0.3518</v>
      </c>
      <c r="D14" s="21">
        <v>0.4506</v>
      </c>
      <c r="E14" s="21">
        <v>0.44940000000000002</v>
      </c>
      <c r="F14" s="21">
        <v>0.62</v>
      </c>
      <c r="G14" s="21"/>
      <c r="H14" s="21"/>
      <c r="I14" s="21">
        <v>0.46400000000000002</v>
      </c>
      <c r="J14" s="21">
        <v>0.42399999999999999</v>
      </c>
      <c r="K14" s="21">
        <v>0.44500000000000001</v>
      </c>
      <c r="L14" s="21">
        <v>0.38100000000000001</v>
      </c>
      <c r="M14" s="21">
        <v>0.42399999999999999</v>
      </c>
      <c r="N14" s="21">
        <v>0.40100000000000002</v>
      </c>
      <c r="O14" s="21"/>
    </row>
    <row r="15" spans="1:15" x14ac:dyDescent="0.2">
      <c r="A15" s="5" t="s">
        <v>64</v>
      </c>
      <c r="B15" s="21">
        <v>0.34699999999999998</v>
      </c>
      <c r="C15" s="21">
        <v>0.42720000000000002</v>
      </c>
      <c r="D15" s="21">
        <v>0.44340000000000002</v>
      </c>
      <c r="E15" s="21">
        <v>0.5</v>
      </c>
      <c r="F15" s="21">
        <v>0.69</v>
      </c>
      <c r="G15" s="21"/>
      <c r="H15" s="21"/>
      <c r="I15" s="21">
        <v>0.56000000000000005</v>
      </c>
      <c r="J15" s="21">
        <v>0.50900000000000001</v>
      </c>
      <c r="K15" s="21">
        <v>0.503</v>
      </c>
      <c r="L15" s="21">
        <v>0.503</v>
      </c>
      <c r="M15" s="21">
        <v>0.45300000000000001</v>
      </c>
      <c r="N15" s="21">
        <v>0.53</v>
      </c>
      <c r="O15" s="21"/>
    </row>
    <row r="16" spans="1:15" x14ac:dyDescent="0.2">
      <c r="A16" s="5" t="s">
        <v>3</v>
      </c>
      <c r="B16" s="21">
        <v>0.4536</v>
      </c>
      <c r="C16" s="21">
        <v>0.43059999999999998</v>
      </c>
      <c r="D16" s="21">
        <v>0.51029999999999998</v>
      </c>
      <c r="E16" s="21">
        <v>0.53</v>
      </c>
      <c r="F16" s="21">
        <v>0.67</v>
      </c>
      <c r="G16" s="21"/>
      <c r="H16" s="21">
        <v>0.69099999999999995</v>
      </c>
      <c r="I16" s="21">
        <v>0.73199999999999998</v>
      </c>
      <c r="J16" s="21">
        <v>0.63800000000000001</v>
      </c>
      <c r="K16" s="21">
        <v>0.64700000000000002</v>
      </c>
      <c r="L16" s="21">
        <v>0.63800000000000001</v>
      </c>
      <c r="M16" s="21">
        <v>0.56200000000000006</v>
      </c>
      <c r="N16" s="21"/>
      <c r="O16" s="21"/>
    </row>
    <row r="17" spans="1:15" x14ac:dyDescent="0.2">
      <c r="A17" s="5" t="s">
        <v>42</v>
      </c>
      <c r="B17" s="21">
        <v>0.58779999999999999</v>
      </c>
      <c r="C17" s="21">
        <v>0.46460000000000001</v>
      </c>
      <c r="D17" s="21">
        <v>0.54759999999999998</v>
      </c>
      <c r="E17" s="21">
        <v>0.61</v>
      </c>
      <c r="F17" s="21">
        <v>0.66</v>
      </c>
      <c r="G17" s="21"/>
      <c r="H17" s="21">
        <v>0.68400000000000005</v>
      </c>
      <c r="I17" s="21">
        <v>0.67800000000000005</v>
      </c>
      <c r="J17" s="21">
        <v>0.58099999999999996</v>
      </c>
      <c r="K17" s="21">
        <v>0.58599999999999997</v>
      </c>
      <c r="L17" s="21">
        <v>0.57099999999999995</v>
      </c>
      <c r="M17" s="21">
        <v>0.54700000000000004</v>
      </c>
      <c r="N17" s="21"/>
      <c r="O17" s="21"/>
    </row>
    <row r="18" spans="1:15" x14ac:dyDescent="0.2">
      <c r="A18" s="5" t="s">
        <v>65</v>
      </c>
      <c r="B18" s="21">
        <v>0.50130000000000008</v>
      </c>
      <c r="C18" s="21">
        <v>0.46560000000000001</v>
      </c>
      <c r="D18" s="21">
        <v>0.50690000000000002</v>
      </c>
      <c r="E18" s="21">
        <v>0.52</v>
      </c>
      <c r="F18" s="21">
        <v>0.63</v>
      </c>
      <c r="G18" s="23"/>
      <c r="H18" s="23"/>
      <c r="I18" s="21">
        <v>0.66100000000000003</v>
      </c>
      <c r="J18" s="21">
        <v>0.63100000000000001</v>
      </c>
      <c r="K18" s="21">
        <v>0.57999999999999996</v>
      </c>
      <c r="L18" s="21">
        <v>0.55700000000000005</v>
      </c>
      <c r="M18" s="21">
        <v>0.57499999999999996</v>
      </c>
      <c r="N18" s="21">
        <v>0.58199999999999996</v>
      </c>
      <c r="O18" s="21"/>
    </row>
  </sheetData>
  <mergeCells count="1">
    <mergeCell ref="A3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72"/>
  <sheetViews>
    <sheetView topLeftCell="B1" workbookViewId="0">
      <selection activeCell="K3" sqref="K3"/>
    </sheetView>
  </sheetViews>
  <sheetFormatPr defaultRowHeight="12.75" x14ac:dyDescent="0.2"/>
  <cols>
    <col min="1" max="1" width="18.140625" customWidth="1"/>
    <col min="2" max="2" width="9.28515625" customWidth="1"/>
    <col min="3" max="4" width="7.7109375" customWidth="1"/>
    <col min="5" max="5" width="9.28515625" customWidth="1"/>
    <col min="6" max="7" width="7.7109375" customWidth="1"/>
    <col min="8" max="8" width="9.28515625" customWidth="1"/>
    <col min="9" max="10" width="7.7109375" customWidth="1"/>
    <col min="12" max="12" width="20.140625" customWidth="1"/>
    <col min="16" max="16" width="3.85546875" customWidth="1"/>
  </cols>
  <sheetData>
    <row r="3" spans="1:19" x14ac:dyDescent="0.2">
      <c r="B3" s="104" t="s">
        <v>3</v>
      </c>
      <c r="C3" s="104"/>
      <c r="D3" s="104"/>
      <c r="E3" s="106">
        <v>39417</v>
      </c>
      <c r="F3" s="104"/>
      <c r="G3" s="104"/>
      <c r="H3" s="104"/>
      <c r="I3" s="104"/>
      <c r="J3" s="104"/>
      <c r="M3" s="105">
        <v>39387</v>
      </c>
      <c r="N3" s="104"/>
      <c r="O3" s="104"/>
      <c r="Q3" s="105">
        <v>39022</v>
      </c>
      <c r="R3" s="104"/>
      <c r="S3" s="104"/>
    </row>
    <row r="4" spans="1:19" x14ac:dyDescent="0.2">
      <c r="B4" s="19" t="s">
        <v>4</v>
      </c>
      <c r="C4" s="19" t="s">
        <v>48</v>
      </c>
      <c r="D4" s="19" t="s">
        <v>60</v>
      </c>
      <c r="E4" s="19" t="s">
        <v>4</v>
      </c>
      <c r="F4" s="19" t="s">
        <v>48</v>
      </c>
      <c r="G4" s="19" t="s">
        <v>60</v>
      </c>
      <c r="H4" s="19" t="s">
        <v>4</v>
      </c>
      <c r="I4" s="19" t="s">
        <v>48</v>
      </c>
      <c r="J4" s="19" t="s">
        <v>60</v>
      </c>
      <c r="M4" s="19" t="s">
        <v>4</v>
      </c>
      <c r="N4" s="19" t="s">
        <v>48</v>
      </c>
      <c r="O4" s="19" t="s">
        <v>60</v>
      </c>
      <c r="Q4" s="19" t="s">
        <v>4</v>
      </c>
      <c r="R4" s="19" t="s">
        <v>48</v>
      </c>
      <c r="S4" s="19" t="s">
        <v>60</v>
      </c>
    </row>
    <row r="5" spans="1:19" x14ac:dyDescent="0.2">
      <c r="A5" s="5" t="s">
        <v>47</v>
      </c>
      <c r="B5" s="17">
        <v>0.73199999999999998</v>
      </c>
      <c r="C5" s="18">
        <v>25</v>
      </c>
      <c r="D5" s="18">
        <v>68873</v>
      </c>
      <c r="E5" s="17">
        <v>0.67800000000000005</v>
      </c>
      <c r="F5" s="18">
        <v>24</v>
      </c>
      <c r="G5" s="18">
        <v>69622</v>
      </c>
      <c r="H5" s="17"/>
      <c r="I5" s="18"/>
      <c r="J5" s="18"/>
      <c r="L5" s="5" t="s">
        <v>47</v>
      </c>
      <c r="M5" s="17">
        <v>0.73199999999999998</v>
      </c>
      <c r="N5" s="18">
        <v>25</v>
      </c>
      <c r="O5" s="18">
        <v>68873</v>
      </c>
      <c r="Q5" s="17">
        <v>0.69099999999999995</v>
      </c>
      <c r="R5" s="18">
        <v>20</v>
      </c>
      <c r="S5" s="18">
        <v>57131</v>
      </c>
    </row>
    <row r="6" spans="1:19" ht="7.9" customHeight="1" x14ac:dyDescent="0.2">
      <c r="A6" s="5"/>
      <c r="B6" s="17"/>
      <c r="C6" s="18"/>
      <c r="D6" s="18"/>
      <c r="E6" s="17"/>
      <c r="F6" s="18"/>
      <c r="G6" s="18"/>
      <c r="H6" s="17"/>
      <c r="I6" s="18"/>
      <c r="J6" s="18"/>
      <c r="L6" s="5"/>
      <c r="M6" s="17"/>
      <c r="N6" s="18"/>
      <c r="O6" s="18"/>
      <c r="Q6" s="17"/>
      <c r="R6" s="16"/>
      <c r="S6" s="18"/>
    </row>
    <row r="7" spans="1:19" x14ac:dyDescent="0.2">
      <c r="A7" s="5" t="s">
        <v>53</v>
      </c>
      <c r="B7" s="17">
        <v>0.69</v>
      </c>
      <c r="C7" s="18">
        <v>5</v>
      </c>
      <c r="D7" s="18">
        <v>41730</v>
      </c>
      <c r="E7" s="17">
        <v>0.59199999999999997</v>
      </c>
      <c r="F7" s="18">
        <v>5</v>
      </c>
      <c r="G7" s="18">
        <v>43751</v>
      </c>
      <c r="H7" s="17"/>
      <c r="I7" s="18"/>
      <c r="J7" s="18"/>
      <c r="L7" s="5" t="s">
        <v>53</v>
      </c>
      <c r="M7" s="17">
        <v>0.69</v>
      </c>
      <c r="N7" s="18">
        <v>5</v>
      </c>
      <c r="O7" s="18">
        <v>41730</v>
      </c>
      <c r="Q7" s="17">
        <v>0.66800000000000004</v>
      </c>
      <c r="R7" s="18">
        <v>5</v>
      </c>
      <c r="S7" s="18">
        <v>33871</v>
      </c>
    </row>
    <row r="8" spans="1:19" x14ac:dyDescent="0.2">
      <c r="A8" s="5" t="s">
        <v>50</v>
      </c>
      <c r="B8" s="17">
        <v>0.73899999999999999</v>
      </c>
      <c r="C8" s="18">
        <v>11</v>
      </c>
      <c r="D8" s="18">
        <v>22803</v>
      </c>
      <c r="E8" s="17">
        <v>0.71399999999999997</v>
      </c>
      <c r="F8" s="18">
        <v>10</v>
      </c>
      <c r="G8" s="18">
        <v>22026</v>
      </c>
      <c r="H8" s="17"/>
      <c r="I8" s="18"/>
      <c r="J8" s="18"/>
      <c r="L8" s="5" t="s">
        <v>50</v>
      </c>
      <c r="M8" s="17">
        <v>0.73899999999999999</v>
      </c>
      <c r="N8" s="18">
        <v>11</v>
      </c>
      <c r="O8" s="18">
        <v>22803</v>
      </c>
      <c r="Q8" s="17">
        <v>0.752</v>
      </c>
      <c r="R8" s="18">
        <v>8</v>
      </c>
      <c r="S8" s="18">
        <v>16820</v>
      </c>
    </row>
    <row r="9" spans="1:19" x14ac:dyDescent="0.2">
      <c r="A9" s="5" t="s">
        <v>51</v>
      </c>
      <c r="B9" s="17">
        <v>0.58399999999999996</v>
      </c>
      <c r="C9" s="18">
        <v>9</v>
      </c>
      <c r="D9" s="18">
        <v>8018</v>
      </c>
      <c r="E9" s="17">
        <v>0.63700000000000001</v>
      </c>
      <c r="F9" s="18">
        <v>9</v>
      </c>
      <c r="G9" s="18">
        <v>8711</v>
      </c>
      <c r="H9" s="17"/>
      <c r="I9" s="18"/>
      <c r="J9" s="18"/>
      <c r="L9" s="5" t="s">
        <v>51</v>
      </c>
      <c r="M9" s="17">
        <v>0.58399999999999996</v>
      </c>
      <c r="N9" s="18">
        <v>9</v>
      </c>
      <c r="O9" s="18">
        <v>8018</v>
      </c>
      <c r="Q9" s="17">
        <v>0.65400000000000003</v>
      </c>
      <c r="R9" s="18">
        <v>7</v>
      </c>
      <c r="S9" s="18">
        <v>6440</v>
      </c>
    </row>
    <row r="10" spans="1:19" ht="9" customHeight="1" x14ac:dyDescent="0.2">
      <c r="A10" s="5"/>
      <c r="B10" s="17"/>
      <c r="C10" s="18"/>
      <c r="D10" s="18"/>
      <c r="E10" s="17"/>
      <c r="F10" s="18"/>
      <c r="G10" s="18"/>
      <c r="H10" s="17"/>
      <c r="I10" s="18"/>
      <c r="J10" s="18"/>
      <c r="L10" s="5"/>
      <c r="M10" s="17"/>
      <c r="N10" s="18"/>
      <c r="O10" s="18"/>
      <c r="Q10" s="17"/>
      <c r="R10" s="18"/>
      <c r="S10" s="18"/>
    </row>
    <row r="11" spans="1:19" x14ac:dyDescent="0.2">
      <c r="A11" s="5" t="s">
        <v>43</v>
      </c>
      <c r="B11" s="17">
        <v>0.72499999999999998</v>
      </c>
      <c r="C11" s="18">
        <v>7</v>
      </c>
      <c r="D11" s="18">
        <v>12716</v>
      </c>
      <c r="E11" s="17">
        <v>0.78600000000000003</v>
      </c>
      <c r="F11" s="18">
        <v>6</v>
      </c>
      <c r="G11" s="18">
        <v>11129</v>
      </c>
      <c r="H11" s="17"/>
      <c r="I11" s="18"/>
      <c r="J11" s="18"/>
      <c r="L11" s="5" t="s">
        <v>43</v>
      </c>
      <c r="M11" s="17">
        <v>0.72499999999999998</v>
      </c>
      <c r="N11" s="18">
        <v>7</v>
      </c>
      <c r="O11" s="18">
        <v>12716</v>
      </c>
      <c r="Q11" s="17">
        <v>0.72099999999999997</v>
      </c>
      <c r="R11" s="18">
        <v>5</v>
      </c>
      <c r="S11" s="18">
        <v>10160</v>
      </c>
    </row>
    <row r="12" spans="1:19" x14ac:dyDescent="0.2">
      <c r="A12" s="5" t="s">
        <v>49</v>
      </c>
      <c r="B12" s="17">
        <v>0.67900000000000005</v>
      </c>
      <c r="C12" s="18">
        <v>16</v>
      </c>
      <c r="D12" s="18">
        <v>55295</v>
      </c>
      <c r="E12" s="17">
        <v>0.59899999999999998</v>
      </c>
      <c r="F12" s="18">
        <v>16</v>
      </c>
      <c r="G12" s="18">
        <v>57625</v>
      </c>
      <c r="H12" s="17"/>
      <c r="I12" s="18"/>
      <c r="J12" s="18"/>
      <c r="L12" s="5" t="s">
        <v>49</v>
      </c>
      <c r="M12" s="17">
        <v>0.67900000000000005</v>
      </c>
      <c r="N12" s="18">
        <v>16</v>
      </c>
      <c r="O12" s="18">
        <v>55295</v>
      </c>
      <c r="Q12" s="17">
        <v>0.68400000000000005</v>
      </c>
      <c r="R12" s="18">
        <v>14</v>
      </c>
      <c r="S12" s="18">
        <v>46551</v>
      </c>
    </row>
    <row r="13" spans="1:19" x14ac:dyDescent="0.2">
      <c r="A13" s="5" t="s">
        <v>45</v>
      </c>
      <c r="B13" s="17">
        <v>0.64500000000000002</v>
      </c>
      <c r="C13" s="18">
        <v>2</v>
      </c>
      <c r="D13" s="18">
        <v>1800</v>
      </c>
      <c r="E13" s="17">
        <v>0.63300000000000001</v>
      </c>
      <c r="F13" s="18">
        <v>2</v>
      </c>
      <c r="G13" s="18">
        <v>1860</v>
      </c>
      <c r="H13" s="17"/>
      <c r="I13" s="18"/>
      <c r="J13" s="18"/>
      <c r="L13" s="5" t="s">
        <v>45</v>
      </c>
      <c r="M13" s="17">
        <v>0.64500000000000002</v>
      </c>
      <c r="N13" s="18">
        <v>2</v>
      </c>
      <c r="O13" s="18">
        <v>1800</v>
      </c>
      <c r="Q13" s="17">
        <v>0.72899999999999998</v>
      </c>
      <c r="R13" s="18">
        <v>1</v>
      </c>
      <c r="S13" s="18">
        <v>420</v>
      </c>
    </row>
    <row r="14" spans="1:19" x14ac:dyDescent="0.2">
      <c r="B14" s="104" t="s">
        <v>64</v>
      </c>
      <c r="C14" s="104"/>
      <c r="D14" s="104"/>
      <c r="E14" s="104" t="s">
        <v>63</v>
      </c>
      <c r="F14" s="104"/>
      <c r="G14" s="104"/>
      <c r="H14" s="104" t="s">
        <v>62</v>
      </c>
      <c r="I14" s="104"/>
      <c r="J14" s="104"/>
      <c r="M14" s="105">
        <v>39417</v>
      </c>
      <c r="N14" s="104"/>
      <c r="O14" s="104"/>
      <c r="Q14" s="105">
        <v>39052</v>
      </c>
      <c r="R14" s="104"/>
      <c r="S14" s="104"/>
    </row>
    <row r="15" spans="1:19" x14ac:dyDescent="0.2">
      <c r="B15" s="19" t="s">
        <v>4</v>
      </c>
      <c r="C15" s="19" t="s">
        <v>48</v>
      </c>
      <c r="D15" s="19" t="s">
        <v>60</v>
      </c>
      <c r="E15" s="19" t="s">
        <v>4</v>
      </c>
      <c r="F15" s="19" t="s">
        <v>48</v>
      </c>
      <c r="G15" s="19" t="s">
        <v>60</v>
      </c>
      <c r="H15" s="19" t="s">
        <v>4</v>
      </c>
      <c r="I15" s="19" t="s">
        <v>48</v>
      </c>
      <c r="J15" s="19" t="s">
        <v>60</v>
      </c>
      <c r="M15" s="19" t="s">
        <v>4</v>
      </c>
      <c r="N15" s="19" t="s">
        <v>48</v>
      </c>
      <c r="O15" s="19" t="s">
        <v>60</v>
      </c>
      <c r="Q15" s="19" t="s">
        <v>4</v>
      </c>
      <c r="R15" s="19" t="s">
        <v>48</v>
      </c>
      <c r="S15" s="19" t="s">
        <v>60</v>
      </c>
    </row>
    <row r="16" spans="1:19" x14ac:dyDescent="0.2">
      <c r="A16" s="5" t="s">
        <v>47</v>
      </c>
      <c r="B16" s="17">
        <v>0.55000000000000004</v>
      </c>
      <c r="C16" s="18">
        <v>22</v>
      </c>
      <c r="D16" s="18">
        <v>67061</v>
      </c>
      <c r="E16" s="17">
        <v>0.46400000000000002</v>
      </c>
      <c r="F16" s="18">
        <v>20</v>
      </c>
      <c r="G16" s="18">
        <v>61508</v>
      </c>
      <c r="H16" s="17">
        <v>0.56699999999999995</v>
      </c>
      <c r="I16" s="18">
        <v>23</v>
      </c>
      <c r="J16" s="18">
        <v>68481</v>
      </c>
      <c r="L16" s="5" t="s">
        <v>47</v>
      </c>
      <c r="M16" s="17">
        <v>0.67800000000000005</v>
      </c>
      <c r="N16" s="18">
        <v>25</v>
      </c>
      <c r="O16" s="18">
        <v>70025</v>
      </c>
      <c r="Q16" s="17">
        <v>0.68400000000000005</v>
      </c>
      <c r="R16" s="18">
        <v>21</v>
      </c>
      <c r="S16" s="18">
        <v>63116</v>
      </c>
    </row>
    <row r="17" spans="1:19" ht="7.9" customHeight="1" x14ac:dyDescent="0.2">
      <c r="A17" s="5"/>
      <c r="B17" s="17"/>
      <c r="C17" s="18"/>
      <c r="D17" s="18"/>
      <c r="E17" s="17"/>
      <c r="F17" s="18"/>
      <c r="G17" s="18"/>
      <c r="H17" s="17"/>
      <c r="I17" s="18"/>
      <c r="J17" s="18"/>
      <c r="L17" s="5"/>
      <c r="M17" s="17"/>
      <c r="N17" s="18"/>
      <c r="O17" s="18"/>
      <c r="Q17" s="17"/>
      <c r="R17" s="18"/>
      <c r="S17" s="18"/>
    </row>
    <row r="18" spans="1:19" x14ac:dyDescent="0.2">
      <c r="A18" s="5" t="s">
        <v>53</v>
      </c>
      <c r="B18" s="17">
        <v>0.53200000000000003</v>
      </c>
      <c r="C18" s="18">
        <v>5</v>
      </c>
      <c r="D18" s="18">
        <v>43121</v>
      </c>
      <c r="E18" s="17">
        <v>0.47499999999999998</v>
      </c>
      <c r="F18" s="18">
        <v>6</v>
      </c>
      <c r="G18" s="18">
        <v>40857</v>
      </c>
      <c r="H18" s="17">
        <v>0.57699999999999996</v>
      </c>
      <c r="I18" s="18">
        <v>6</v>
      </c>
      <c r="J18" s="18">
        <v>41261</v>
      </c>
      <c r="L18" s="5" t="s">
        <v>53</v>
      </c>
      <c r="M18" s="17">
        <v>0.59199999999999997</v>
      </c>
      <c r="N18" s="18">
        <v>5</v>
      </c>
      <c r="O18" s="18">
        <v>43751</v>
      </c>
      <c r="Q18" s="17">
        <v>0.66400000000000003</v>
      </c>
      <c r="R18" s="18">
        <v>6</v>
      </c>
      <c r="S18" s="18">
        <v>38905</v>
      </c>
    </row>
    <row r="19" spans="1:19" x14ac:dyDescent="0.2">
      <c r="A19" s="5" t="s">
        <v>50</v>
      </c>
      <c r="B19" s="17">
        <v>0.59299999999999997</v>
      </c>
      <c r="C19" s="18">
        <v>10</v>
      </c>
      <c r="D19" s="18">
        <v>18243</v>
      </c>
      <c r="E19" s="17">
        <v>0.442</v>
      </c>
      <c r="F19" s="18">
        <v>7</v>
      </c>
      <c r="G19" s="18">
        <v>14097</v>
      </c>
      <c r="H19" s="17">
        <v>0.53100000000000003</v>
      </c>
      <c r="I19" s="18">
        <v>10</v>
      </c>
      <c r="J19" s="18">
        <v>20555</v>
      </c>
      <c r="L19" s="5" t="s">
        <v>50</v>
      </c>
      <c r="M19" s="17">
        <v>0.71399999999999997</v>
      </c>
      <c r="N19" s="18">
        <v>10</v>
      </c>
      <c r="O19" s="18">
        <v>22026</v>
      </c>
      <c r="Q19" s="17">
        <v>0.752</v>
      </c>
      <c r="R19" s="18">
        <v>8</v>
      </c>
      <c r="S19" s="18">
        <v>17329</v>
      </c>
    </row>
    <row r="20" spans="1:19" x14ac:dyDescent="0.2">
      <c r="A20" s="5" t="s">
        <v>51</v>
      </c>
      <c r="B20" s="17">
        <v>0.57099999999999995</v>
      </c>
      <c r="C20" s="18">
        <v>7</v>
      </c>
      <c r="D20" s="18">
        <v>6665</v>
      </c>
      <c r="E20" s="17">
        <v>0.45500000000000002</v>
      </c>
      <c r="F20" s="18">
        <v>8</v>
      </c>
      <c r="G20" s="18">
        <v>7304</v>
      </c>
      <c r="H20" s="17">
        <v>0.623</v>
      </c>
      <c r="I20" s="18">
        <v>7</v>
      </c>
      <c r="J20" s="18">
        <v>6665</v>
      </c>
      <c r="L20" s="5" t="s">
        <v>51</v>
      </c>
      <c r="M20" s="17">
        <v>0.63900000000000001</v>
      </c>
      <c r="N20" s="18">
        <v>10</v>
      </c>
      <c r="O20" s="18">
        <v>9114</v>
      </c>
      <c r="Q20" s="17">
        <v>0.629</v>
      </c>
      <c r="R20" s="18">
        <v>7</v>
      </c>
      <c r="S20" s="18">
        <v>6882</v>
      </c>
    </row>
    <row r="21" spans="1:19" ht="9" customHeight="1" x14ac:dyDescent="0.2">
      <c r="A21" s="5"/>
      <c r="B21" s="17"/>
      <c r="C21" s="18"/>
      <c r="D21" s="18"/>
      <c r="E21" s="17"/>
      <c r="F21" s="18"/>
      <c r="G21" s="18"/>
      <c r="H21" s="17"/>
      <c r="I21" s="18"/>
      <c r="J21" s="18"/>
      <c r="L21" s="5"/>
      <c r="M21" s="17"/>
      <c r="N21" s="18"/>
      <c r="O21" s="18"/>
      <c r="Q21" s="17"/>
      <c r="R21" s="18"/>
      <c r="S21" s="18"/>
    </row>
    <row r="22" spans="1:19" x14ac:dyDescent="0.2">
      <c r="A22" s="5" t="s">
        <v>43</v>
      </c>
      <c r="B22" s="17">
        <v>0.71199999999999997</v>
      </c>
      <c r="C22" s="18">
        <v>5</v>
      </c>
      <c r="D22" s="18">
        <v>6382</v>
      </c>
      <c r="E22" s="17">
        <v>0.47</v>
      </c>
      <c r="F22" s="18">
        <v>4</v>
      </c>
      <c r="G22" s="18">
        <v>7132</v>
      </c>
      <c r="H22" s="17">
        <v>0.57299999999999995</v>
      </c>
      <c r="I22" s="18">
        <v>6</v>
      </c>
      <c r="J22" s="18">
        <v>11472</v>
      </c>
      <c r="L22" s="5" t="s">
        <v>43</v>
      </c>
      <c r="M22" s="17">
        <v>0.78600000000000003</v>
      </c>
      <c r="N22" s="18">
        <v>6</v>
      </c>
      <c r="O22" s="18">
        <v>11129</v>
      </c>
      <c r="Q22" s="17">
        <v>0.79</v>
      </c>
      <c r="R22" s="18">
        <v>5</v>
      </c>
      <c r="S22" s="18">
        <v>10478</v>
      </c>
    </row>
    <row r="23" spans="1:19" x14ac:dyDescent="0.2">
      <c r="A23" s="5" t="s">
        <v>49</v>
      </c>
      <c r="B23" s="17">
        <v>0.52200000000000002</v>
      </c>
      <c r="C23" s="18">
        <v>15</v>
      </c>
      <c r="D23" s="18">
        <v>52486</v>
      </c>
      <c r="E23" s="17">
        <v>0.46800000000000003</v>
      </c>
      <c r="F23" s="18">
        <v>14</v>
      </c>
      <c r="G23" s="18">
        <v>52486</v>
      </c>
      <c r="H23" s="17">
        <v>0.56200000000000006</v>
      </c>
      <c r="I23" s="18">
        <v>15</v>
      </c>
      <c r="J23" s="18">
        <v>55149</v>
      </c>
      <c r="L23" s="5" t="s">
        <v>49</v>
      </c>
      <c r="M23" s="17">
        <v>0.6</v>
      </c>
      <c r="N23" s="18">
        <v>17</v>
      </c>
      <c r="O23" s="18">
        <v>58028</v>
      </c>
      <c r="Q23" s="17">
        <v>0.66200000000000003</v>
      </c>
      <c r="R23" s="18">
        <v>15</v>
      </c>
      <c r="S23" s="18">
        <v>52080</v>
      </c>
    </row>
    <row r="24" spans="1:19" x14ac:dyDescent="0.2">
      <c r="A24" s="5" t="s">
        <v>45</v>
      </c>
      <c r="B24" s="17">
        <v>0.65400000000000003</v>
      </c>
      <c r="C24" s="18">
        <v>2</v>
      </c>
      <c r="D24" s="18">
        <v>2640</v>
      </c>
      <c r="E24" s="17">
        <v>0.40300000000000002</v>
      </c>
      <c r="F24" s="18">
        <v>3</v>
      </c>
      <c r="G24" s="18">
        <v>2640</v>
      </c>
      <c r="H24" s="17">
        <v>0.68700000000000006</v>
      </c>
      <c r="I24" s="18">
        <v>2</v>
      </c>
      <c r="J24" s="18">
        <v>1860</v>
      </c>
      <c r="L24" s="5" t="s">
        <v>45</v>
      </c>
      <c r="M24" s="17">
        <v>0.63300000000000001</v>
      </c>
      <c r="N24" s="18">
        <v>2</v>
      </c>
      <c r="O24" s="18">
        <v>1860</v>
      </c>
      <c r="Q24" s="17">
        <v>0.79700000000000004</v>
      </c>
      <c r="R24" s="18">
        <v>1</v>
      </c>
      <c r="S24" s="18">
        <v>558</v>
      </c>
    </row>
    <row r="26" spans="1:19" x14ac:dyDescent="0.2">
      <c r="B26" s="104" t="s">
        <v>63</v>
      </c>
      <c r="C26" s="104"/>
      <c r="D26" s="104"/>
      <c r="E26" s="104" t="s">
        <v>62</v>
      </c>
      <c r="F26" s="104"/>
      <c r="G26" s="104"/>
      <c r="H26" s="104" t="s">
        <v>59</v>
      </c>
      <c r="I26" s="104"/>
      <c r="J26" s="104"/>
    </row>
    <row r="27" spans="1:19" x14ac:dyDescent="0.2">
      <c r="B27" s="19" t="s">
        <v>4</v>
      </c>
      <c r="C27" s="19" t="s">
        <v>48</v>
      </c>
      <c r="D27" s="19" t="s">
        <v>60</v>
      </c>
      <c r="E27" s="19" t="s">
        <v>4</v>
      </c>
      <c r="F27" s="19" t="s">
        <v>48</v>
      </c>
      <c r="G27" s="19" t="s">
        <v>60</v>
      </c>
      <c r="H27" s="19" t="s">
        <v>4</v>
      </c>
      <c r="I27" s="19" t="s">
        <v>48</v>
      </c>
      <c r="J27" s="19" t="s">
        <v>60</v>
      </c>
      <c r="M27" s="19" t="s">
        <v>4</v>
      </c>
    </row>
    <row r="28" spans="1:19" x14ac:dyDescent="0.2">
      <c r="A28" s="5" t="s">
        <v>47</v>
      </c>
      <c r="B28" s="17">
        <v>0.46400000000000002</v>
      </c>
      <c r="C28" s="18">
        <v>20</v>
      </c>
      <c r="D28" s="18">
        <v>61508</v>
      </c>
      <c r="E28" s="17">
        <v>0.56699999999999995</v>
      </c>
      <c r="F28" s="18">
        <v>23</v>
      </c>
      <c r="G28" s="18">
        <v>68481</v>
      </c>
      <c r="H28" s="17">
        <v>0.58599999999999997</v>
      </c>
      <c r="I28" s="18">
        <v>22</v>
      </c>
      <c r="J28" s="18">
        <v>68045</v>
      </c>
      <c r="L28" s="5" t="s">
        <v>47</v>
      </c>
      <c r="M28" s="17">
        <v>0.66100000000000003</v>
      </c>
    </row>
    <row r="29" spans="1:19" ht="7.9" customHeight="1" x14ac:dyDescent="0.2">
      <c r="A29" s="5"/>
      <c r="B29" s="17"/>
      <c r="C29" s="18"/>
      <c r="D29" s="18"/>
      <c r="E29" s="17"/>
      <c r="F29" s="18"/>
      <c r="G29" s="18"/>
      <c r="H29" s="17"/>
      <c r="I29" s="18"/>
      <c r="J29" s="18"/>
      <c r="L29" s="5"/>
      <c r="M29" s="17"/>
    </row>
    <row r="30" spans="1:19" x14ac:dyDescent="0.2">
      <c r="A30" s="5" t="s">
        <v>53</v>
      </c>
      <c r="B30" s="17">
        <v>0.47499999999999998</v>
      </c>
      <c r="C30" s="18">
        <v>6</v>
      </c>
      <c r="D30" s="18">
        <v>40857</v>
      </c>
      <c r="E30" s="17">
        <v>0.57699999999999996</v>
      </c>
      <c r="F30" s="18">
        <v>6</v>
      </c>
      <c r="G30" s="18">
        <v>41261</v>
      </c>
      <c r="H30" s="17">
        <v>0.6</v>
      </c>
      <c r="I30" s="18">
        <v>6</v>
      </c>
      <c r="J30" s="18">
        <v>41199</v>
      </c>
      <c r="L30" s="5" t="s">
        <v>53</v>
      </c>
      <c r="M30" s="17">
        <v>0.63700000000000001</v>
      </c>
    </row>
    <row r="31" spans="1:19" x14ac:dyDescent="0.2">
      <c r="A31" s="5" t="s">
        <v>50</v>
      </c>
      <c r="B31" s="17">
        <v>0.442</v>
      </c>
      <c r="C31" s="18">
        <v>7</v>
      </c>
      <c r="D31" s="18">
        <v>14097</v>
      </c>
      <c r="E31" s="17">
        <v>0.53100000000000003</v>
      </c>
      <c r="F31" s="18">
        <v>10</v>
      </c>
      <c r="G31" s="18">
        <v>20555</v>
      </c>
      <c r="H31" s="17">
        <v>0.57399999999999995</v>
      </c>
      <c r="I31" s="18">
        <v>10</v>
      </c>
      <c r="J31" s="18">
        <v>20987</v>
      </c>
      <c r="L31" s="5" t="s">
        <v>50</v>
      </c>
      <c r="M31" s="17">
        <v>0.70299999999999996</v>
      </c>
    </row>
    <row r="32" spans="1:19" x14ac:dyDescent="0.2">
      <c r="A32" s="5" t="s">
        <v>51</v>
      </c>
      <c r="B32" s="17">
        <v>0.441</v>
      </c>
      <c r="C32" s="18">
        <v>7</v>
      </c>
      <c r="D32" s="18">
        <v>6554</v>
      </c>
      <c r="E32" s="17">
        <v>0.623</v>
      </c>
      <c r="F32" s="18">
        <v>7</v>
      </c>
      <c r="G32" s="18">
        <v>6665</v>
      </c>
      <c r="H32" s="17">
        <v>0.52800000000000002</v>
      </c>
      <c r="I32" s="18">
        <v>6</v>
      </c>
      <c r="J32" s="18">
        <v>5859</v>
      </c>
      <c r="L32" s="5" t="s">
        <v>51</v>
      </c>
      <c r="M32" s="17">
        <v>0.627</v>
      </c>
    </row>
    <row r="33" spans="1:13" ht="9" customHeight="1" x14ac:dyDescent="0.2">
      <c r="A33" s="5"/>
      <c r="B33" s="17"/>
      <c r="C33" s="18"/>
      <c r="D33" s="18"/>
      <c r="E33" s="17"/>
      <c r="F33" s="18"/>
      <c r="G33" s="18"/>
      <c r="H33" s="17"/>
      <c r="I33" s="18"/>
      <c r="J33" s="18"/>
      <c r="L33" s="5"/>
      <c r="M33" s="17"/>
    </row>
    <row r="34" spans="1:13" x14ac:dyDescent="0.2">
      <c r="A34" s="5" t="s">
        <v>43</v>
      </c>
      <c r="B34" s="17">
        <v>0.45700000000000002</v>
      </c>
      <c r="C34" s="18">
        <v>3</v>
      </c>
      <c r="D34" s="18">
        <v>6382</v>
      </c>
      <c r="E34" s="17">
        <v>0.57299999999999995</v>
      </c>
      <c r="F34" s="18">
        <v>6</v>
      </c>
      <c r="G34" s="18">
        <v>11472</v>
      </c>
      <c r="H34" s="17">
        <v>0.63900000000000001</v>
      </c>
      <c r="I34" s="18">
        <v>7</v>
      </c>
      <c r="J34" s="18">
        <v>12958</v>
      </c>
      <c r="L34" s="5" t="s">
        <v>43</v>
      </c>
      <c r="M34" s="17">
        <v>0.73899999999999999</v>
      </c>
    </row>
    <row r="35" spans="1:13" x14ac:dyDescent="0.2">
      <c r="A35" s="5" t="s">
        <v>49</v>
      </c>
      <c r="B35" s="17">
        <v>0.46800000000000003</v>
      </c>
      <c r="C35" s="18">
        <v>14</v>
      </c>
      <c r="D35" s="18">
        <v>52486</v>
      </c>
      <c r="E35" s="17">
        <v>0.56200000000000006</v>
      </c>
      <c r="F35" s="18">
        <v>15</v>
      </c>
      <c r="G35" s="18">
        <v>55149</v>
      </c>
      <c r="H35" s="17">
        <v>0.57499999999999996</v>
      </c>
      <c r="I35" s="18">
        <v>14</v>
      </c>
      <c r="J35" s="18">
        <v>54653</v>
      </c>
      <c r="L35" s="5" t="s">
        <v>49</v>
      </c>
      <c r="M35" s="17">
        <v>0.63600000000000001</v>
      </c>
    </row>
    <row r="36" spans="1:13" x14ac:dyDescent="0.2">
      <c r="A36" s="5" t="s">
        <v>45</v>
      </c>
      <c r="B36" s="17">
        <v>0.40300000000000002</v>
      </c>
      <c r="C36" s="18">
        <v>3</v>
      </c>
      <c r="D36" s="18">
        <v>2640</v>
      </c>
      <c r="E36" s="17">
        <v>0.68700000000000006</v>
      </c>
      <c r="F36" s="18">
        <v>2</v>
      </c>
      <c r="G36" s="18">
        <v>1860</v>
      </c>
      <c r="H36" s="17">
        <v>0.29299999999999998</v>
      </c>
      <c r="I36" s="18">
        <v>1</v>
      </c>
      <c r="J36" s="18">
        <v>434</v>
      </c>
      <c r="L36" s="5" t="s">
        <v>45</v>
      </c>
      <c r="M36" s="17">
        <v>0.65500000000000003</v>
      </c>
    </row>
    <row r="38" spans="1:13" x14ac:dyDescent="0.2">
      <c r="B38" s="104" t="s">
        <v>58</v>
      </c>
      <c r="C38" s="104"/>
      <c r="D38" s="104"/>
      <c r="E38" s="104" t="s">
        <v>57</v>
      </c>
      <c r="F38" s="104"/>
      <c r="G38" s="104"/>
      <c r="H38" s="104" t="s">
        <v>56</v>
      </c>
      <c r="I38" s="104"/>
      <c r="J38" s="104"/>
    </row>
    <row r="39" spans="1:13" x14ac:dyDescent="0.2">
      <c r="B39" s="19" t="s">
        <v>4</v>
      </c>
      <c r="C39" s="19" t="s">
        <v>48</v>
      </c>
      <c r="D39" s="19" t="s">
        <v>60</v>
      </c>
      <c r="E39" s="19" t="s">
        <v>4</v>
      </c>
      <c r="F39" s="19" t="s">
        <v>48</v>
      </c>
      <c r="G39" s="19" t="s">
        <v>60</v>
      </c>
      <c r="H39" s="19" t="s">
        <v>4</v>
      </c>
      <c r="I39" s="19" t="s">
        <v>48</v>
      </c>
      <c r="J39" s="19"/>
    </row>
    <row r="40" spans="1:13" x14ac:dyDescent="0.2">
      <c r="A40" s="5" t="s">
        <v>47</v>
      </c>
      <c r="B40" s="17">
        <v>0.57499999999999996</v>
      </c>
      <c r="C40" s="18">
        <v>23</v>
      </c>
      <c r="D40" s="18">
        <v>67588</v>
      </c>
      <c r="E40" s="17">
        <v>0.67800000000000005</v>
      </c>
      <c r="F40" s="18">
        <v>22</v>
      </c>
      <c r="G40" s="18">
        <v>65844</v>
      </c>
      <c r="H40" s="17">
        <v>0.68500000000000005</v>
      </c>
      <c r="I40" s="18">
        <v>24</v>
      </c>
      <c r="J40" s="18">
        <v>66126</v>
      </c>
    </row>
    <row r="41" spans="1:13" x14ac:dyDescent="0.2">
      <c r="A41" s="5"/>
      <c r="B41" s="17"/>
      <c r="C41" s="18"/>
      <c r="D41" s="18"/>
      <c r="E41" s="17"/>
      <c r="F41" s="18"/>
      <c r="G41" s="18"/>
      <c r="H41" s="17"/>
      <c r="I41" s="18"/>
      <c r="J41" s="18"/>
    </row>
    <row r="42" spans="1:13" x14ac:dyDescent="0.2">
      <c r="A42" s="5" t="s">
        <v>53</v>
      </c>
      <c r="B42" s="17">
        <v>0.52700000000000002</v>
      </c>
      <c r="C42" s="18">
        <v>6</v>
      </c>
      <c r="D42" s="18">
        <v>39990</v>
      </c>
      <c r="E42" s="17">
        <v>0.65600000000000003</v>
      </c>
      <c r="F42" s="18">
        <v>6</v>
      </c>
      <c r="G42" s="18">
        <v>41199</v>
      </c>
      <c r="H42" s="17">
        <v>0.66400000000000003</v>
      </c>
      <c r="I42" s="18">
        <v>6</v>
      </c>
      <c r="J42" s="18">
        <v>40170</v>
      </c>
    </row>
    <row r="43" spans="1:13" x14ac:dyDescent="0.2">
      <c r="A43" s="5" t="s">
        <v>50</v>
      </c>
      <c r="B43" s="17">
        <v>0.67600000000000005</v>
      </c>
      <c r="C43" s="18">
        <v>10</v>
      </c>
      <c r="D43" s="18">
        <v>20150</v>
      </c>
      <c r="E43" s="17">
        <v>0.73899999999999999</v>
      </c>
      <c r="F43" s="18">
        <v>9</v>
      </c>
      <c r="G43" s="18">
        <v>18972</v>
      </c>
      <c r="H43" s="17">
        <v>0.73599999999999999</v>
      </c>
      <c r="I43" s="18">
        <v>9</v>
      </c>
      <c r="J43" s="18">
        <v>17990</v>
      </c>
    </row>
    <row r="44" spans="1:13" x14ac:dyDescent="0.2">
      <c r="A44" s="5" t="s">
        <v>51</v>
      </c>
      <c r="B44" s="17">
        <v>0.55800000000000005</v>
      </c>
      <c r="C44" s="18">
        <v>8</v>
      </c>
      <c r="D44" s="18">
        <v>7448</v>
      </c>
      <c r="E44" s="17">
        <v>0.63300000000000001</v>
      </c>
      <c r="F44" s="18">
        <v>7</v>
      </c>
      <c r="G44" s="18">
        <v>5673</v>
      </c>
      <c r="H44" s="17">
        <v>0.67500000000000004</v>
      </c>
      <c r="I44" s="18">
        <v>9</v>
      </c>
      <c r="J44" s="18">
        <v>7966</v>
      </c>
    </row>
    <row r="45" spans="1:13" x14ac:dyDescent="0.2">
      <c r="A45" s="5"/>
      <c r="B45" s="17"/>
      <c r="C45" s="18"/>
      <c r="D45" s="18"/>
      <c r="E45" s="17"/>
      <c r="F45" s="18"/>
      <c r="G45" s="18"/>
      <c r="H45" s="17"/>
      <c r="I45" s="18"/>
      <c r="J45" s="18"/>
    </row>
    <row r="46" spans="1:13" x14ac:dyDescent="0.2">
      <c r="A46" s="5" t="s">
        <v>43</v>
      </c>
      <c r="B46" s="17">
        <v>0.70099999999999996</v>
      </c>
      <c r="C46" s="18">
        <v>7</v>
      </c>
      <c r="D46" s="18">
        <v>12358</v>
      </c>
      <c r="E46" s="17">
        <v>0.74099999999999999</v>
      </c>
      <c r="F46" s="18">
        <v>7</v>
      </c>
      <c r="G46" s="18">
        <v>12927</v>
      </c>
      <c r="H46" s="17">
        <v>0.81599999999999995</v>
      </c>
      <c r="I46" s="18">
        <v>7</v>
      </c>
      <c r="J46" s="18">
        <v>11886</v>
      </c>
    </row>
    <row r="47" spans="1:13" x14ac:dyDescent="0.2">
      <c r="A47" s="5" t="s">
        <v>49</v>
      </c>
      <c r="B47" s="17">
        <v>0.54500000000000004</v>
      </c>
      <c r="C47" s="18">
        <v>15</v>
      </c>
      <c r="D47" s="18">
        <v>53430</v>
      </c>
      <c r="E47" s="17">
        <v>0.66300000000000003</v>
      </c>
      <c r="F47" s="18">
        <v>14</v>
      </c>
      <c r="G47" s="18">
        <v>52483</v>
      </c>
      <c r="H47" s="17">
        <v>0.65300000000000002</v>
      </c>
      <c r="I47" s="18">
        <v>15</v>
      </c>
      <c r="J47" s="18">
        <v>53460</v>
      </c>
    </row>
    <row r="48" spans="1:13" x14ac:dyDescent="0.2">
      <c r="A48" s="5" t="s">
        <v>45</v>
      </c>
      <c r="B48" s="17">
        <v>0.60199999999999998</v>
      </c>
      <c r="C48" s="18">
        <v>2</v>
      </c>
      <c r="D48" s="18">
        <v>1800</v>
      </c>
      <c r="E48" s="17">
        <v>0.53</v>
      </c>
      <c r="F48" s="18">
        <v>1</v>
      </c>
      <c r="G48" s="18">
        <v>434</v>
      </c>
      <c r="H48" s="17">
        <v>0.88100000000000001</v>
      </c>
      <c r="I48" s="18">
        <v>2</v>
      </c>
      <c r="J48" s="18">
        <v>780</v>
      </c>
    </row>
    <row r="50" spans="1:10" x14ac:dyDescent="0.2">
      <c r="B50" s="104" t="s">
        <v>54</v>
      </c>
      <c r="C50" s="104"/>
      <c r="D50" s="104"/>
      <c r="E50" s="104" t="s">
        <v>52</v>
      </c>
      <c r="F50" s="104"/>
      <c r="G50" s="104"/>
      <c r="H50" s="104" t="s">
        <v>46</v>
      </c>
      <c r="I50" s="104"/>
      <c r="J50" s="104"/>
    </row>
    <row r="51" spans="1:10" x14ac:dyDescent="0.2">
      <c r="B51" s="19" t="s">
        <v>4</v>
      </c>
      <c r="C51" s="19" t="s">
        <v>48</v>
      </c>
      <c r="D51" s="19"/>
      <c r="E51" s="19" t="s">
        <v>4</v>
      </c>
      <c r="F51" s="19" t="s">
        <v>48</v>
      </c>
      <c r="G51" s="19" t="s">
        <v>60</v>
      </c>
      <c r="H51" s="19" t="s">
        <v>4</v>
      </c>
      <c r="I51" s="19" t="s">
        <v>48</v>
      </c>
      <c r="J51" s="19" t="s">
        <v>60</v>
      </c>
    </row>
    <row r="52" spans="1:10" x14ac:dyDescent="0.2">
      <c r="A52" s="5" t="s">
        <v>47</v>
      </c>
      <c r="B52" s="17">
        <v>0.74099999999999999</v>
      </c>
      <c r="C52" s="18">
        <v>25</v>
      </c>
      <c r="D52" s="18">
        <v>67859</v>
      </c>
      <c r="E52" s="17">
        <v>0.85899999999999999</v>
      </c>
      <c r="F52" s="18">
        <v>24</v>
      </c>
      <c r="G52" s="18">
        <v>56445</v>
      </c>
      <c r="H52" s="17">
        <v>0.77</v>
      </c>
      <c r="I52" s="18">
        <v>22</v>
      </c>
      <c r="J52" s="18">
        <v>60667</v>
      </c>
    </row>
    <row r="53" spans="1:10" x14ac:dyDescent="0.2">
      <c r="A53" s="5"/>
      <c r="B53" s="17"/>
      <c r="C53" s="18"/>
      <c r="D53" s="18"/>
      <c r="E53" s="17"/>
      <c r="F53" s="18"/>
      <c r="G53" s="18"/>
      <c r="H53" s="17"/>
      <c r="I53" s="18"/>
      <c r="J53" s="18"/>
    </row>
    <row r="54" spans="1:10" x14ac:dyDescent="0.2">
      <c r="A54" s="5" t="s">
        <v>53</v>
      </c>
      <c r="B54" s="17">
        <v>0.72</v>
      </c>
      <c r="C54" s="18">
        <v>6</v>
      </c>
      <c r="D54" s="18">
        <v>41323</v>
      </c>
      <c r="E54" s="17">
        <v>0.86699999999999999</v>
      </c>
      <c r="F54" s="18">
        <v>5</v>
      </c>
      <c r="G54" s="18">
        <v>31332</v>
      </c>
      <c r="H54" s="17">
        <v>0.76400000000000001</v>
      </c>
      <c r="I54" s="18">
        <v>5</v>
      </c>
      <c r="J54" s="18">
        <v>34875</v>
      </c>
    </row>
    <row r="55" spans="1:10" x14ac:dyDescent="0.2">
      <c r="A55" s="5" t="s">
        <v>50</v>
      </c>
      <c r="B55" s="17">
        <v>0.79400000000000004</v>
      </c>
      <c r="C55" s="18">
        <v>9</v>
      </c>
      <c r="D55" s="18">
        <v>18569</v>
      </c>
      <c r="E55" s="17">
        <v>0.89400000000000002</v>
      </c>
      <c r="F55" s="18">
        <v>10</v>
      </c>
      <c r="G55" s="18">
        <v>16940</v>
      </c>
      <c r="H55" s="17">
        <v>0.80700000000000005</v>
      </c>
      <c r="I55" s="18">
        <v>9</v>
      </c>
      <c r="J55" s="18">
        <v>18569</v>
      </c>
    </row>
    <row r="56" spans="1:10" x14ac:dyDescent="0.2">
      <c r="A56" s="5" t="s">
        <v>51</v>
      </c>
      <c r="B56" s="17">
        <v>0.72399999999999998</v>
      </c>
      <c r="C56" s="18">
        <v>10</v>
      </c>
      <c r="D56" s="18">
        <v>7967</v>
      </c>
      <c r="E56" s="17">
        <v>0.75700000000000001</v>
      </c>
      <c r="F56" s="18">
        <v>9</v>
      </c>
      <c r="G56" s="18">
        <v>8173</v>
      </c>
      <c r="H56" s="17">
        <v>0.68799999999999994</v>
      </c>
      <c r="I56" s="18">
        <v>8</v>
      </c>
      <c r="J56" s="18">
        <v>7223</v>
      </c>
    </row>
    <row r="57" spans="1:10" x14ac:dyDescent="0.2">
      <c r="A57" s="5"/>
      <c r="B57" s="17"/>
      <c r="C57" s="18"/>
      <c r="D57" s="18"/>
      <c r="E57" s="17"/>
      <c r="F57" s="18"/>
      <c r="G57" s="18"/>
      <c r="H57" s="17"/>
      <c r="I57" s="18"/>
      <c r="J57" s="18"/>
    </row>
    <row r="58" spans="1:10" x14ac:dyDescent="0.2">
      <c r="A58" s="5" t="s">
        <v>43</v>
      </c>
      <c r="B58" s="17">
        <v>0.84299999999999997</v>
      </c>
      <c r="C58" s="18">
        <v>7</v>
      </c>
      <c r="D58" s="18">
        <v>12214</v>
      </c>
      <c r="E58" s="17">
        <v>0.89600000000000002</v>
      </c>
      <c r="F58" s="18">
        <v>7</v>
      </c>
      <c r="G58" s="18">
        <v>11197</v>
      </c>
      <c r="H58" s="17">
        <v>0.82699999999999996</v>
      </c>
      <c r="I58" s="18">
        <v>7</v>
      </c>
      <c r="J58" s="18">
        <v>12183</v>
      </c>
    </row>
    <row r="59" spans="1:10" x14ac:dyDescent="0.2">
      <c r="A59" s="5" t="s">
        <v>49</v>
      </c>
      <c r="B59" s="17">
        <v>0.71699999999999997</v>
      </c>
      <c r="C59" s="18">
        <v>15</v>
      </c>
      <c r="D59" s="18">
        <v>53413</v>
      </c>
      <c r="E59" s="17">
        <v>0.84899999999999998</v>
      </c>
      <c r="F59" s="18">
        <v>15</v>
      </c>
      <c r="G59" s="18">
        <v>43596</v>
      </c>
      <c r="H59" s="17">
        <v>0.752</v>
      </c>
      <c r="I59" s="18">
        <v>14</v>
      </c>
      <c r="J59" s="18">
        <v>48050</v>
      </c>
    </row>
    <row r="60" spans="1:10" x14ac:dyDescent="0.2">
      <c r="A60" s="5" t="s">
        <v>45</v>
      </c>
      <c r="B60" s="17">
        <v>0.76300000000000001</v>
      </c>
      <c r="C60" s="18">
        <v>3</v>
      </c>
      <c r="D60" s="18">
        <v>2232</v>
      </c>
      <c r="E60" s="17">
        <v>0.874</v>
      </c>
      <c r="F60" s="18">
        <v>2</v>
      </c>
      <c r="G60" s="18">
        <v>1652</v>
      </c>
      <c r="H60" s="17">
        <v>0.84799999999999998</v>
      </c>
      <c r="I60" s="18">
        <v>1</v>
      </c>
      <c r="J60" s="18">
        <v>434</v>
      </c>
    </row>
    <row r="62" spans="1:10" x14ac:dyDescent="0.2">
      <c r="B62" s="104" t="s">
        <v>42</v>
      </c>
      <c r="C62" s="104"/>
      <c r="D62" s="104"/>
      <c r="E62" s="104" t="s">
        <v>3</v>
      </c>
      <c r="F62" s="104"/>
      <c r="G62" s="104"/>
    </row>
    <row r="63" spans="1:10" x14ac:dyDescent="0.2">
      <c r="B63" s="19" t="s">
        <v>4</v>
      </c>
      <c r="C63" s="19" t="s">
        <v>48</v>
      </c>
      <c r="D63" s="19" t="s">
        <v>60</v>
      </c>
      <c r="E63" s="19" t="s">
        <v>4</v>
      </c>
      <c r="F63" s="19" t="s">
        <v>48</v>
      </c>
      <c r="G63" s="19" t="s">
        <v>60</v>
      </c>
    </row>
    <row r="64" spans="1:10" x14ac:dyDescent="0.2">
      <c r="A64" s="5" t="s">
        <v>47</v>
      </c>
      <c r="B64" s="17">
        <v>0.68400000000000005</v>
      </c>
      <c r="C64" s="18">
        <v>21</v>
      </c>
      <c r="D64" s="18">
        <v>63116</v>
      </c>
      <c r="E64" s="17">
        <v>0.69099999999999995</v>
      </c>
      <c r="F64" s="18">
        <v>20</v>
      </c>
      <c r="G64" s="18">
        <v>57131</v>
      </c>
    </row>
    <row r="65" spans="1:7" x14ac:dyDescent="0.2">
      <c r="A65" s="5"/>
      <c r="B65" s="17"/>
      <c r="C65" s="18"/>
      <c r="D65" s="18"/>
      <c r="E65" s="17"/>
      <c r="F65" s="16"/>
      <c r="G65" s="18"/>
    </row>
    <row r="66" spans="1:7" x14ac:dyDescent="0.2">
      <c r="A66" s="5" t="s">
        <v>53</v>
      </c>
      <c r="B66" s="17">
        <v>0.66400000000000003</v>
      </c>
      <c r="C66" s="18">
        <v>6</v>
      </c>
      <c r="D66" s="18">
        <v>38905</v>
      </c>
      <c r="E66" s="17">
        <v>0.66800000000000004</v>
      </c>
      <c r="F66" s="18">
        <v>5</v>
      </c>
      <c r="G66" s="18">
        <v>33871</v>
      </c>
    </row>
    <row r="67" spans="1:7" x14ac:dyDescent="0.2">
      <c r="A67" s="5" t="s">
        <v>50</v>
      </c>
      <c r="B67" s="17">
        <v>0.752</v>
      </c>
      <c r="C67" s="18">
        <v>8</v>
      </c>
      <c r="D67" s="18">
        <v>17329</v>
      </c>
      <c r="E67" s="17">
        <v>0.752</v>
      </c>
      <c r="F67" s="18">
        <v>8</v>
      </c>
      <c r="G67" s="18">
        <v>16820</v>
      </c>
    </row>
    <row r="68" spans="1:7" x14ac:dyDescent="0.2">
      <c r="A68" s="5" t="s">
        <v>51</v>
      </c>
      <c r="B68" s="17">
        <v>0.629</v>
      </c>
      <c r="C68" s="18">
        <v>7</v>
      </c>
      <c r="D68" s="18">
        <v>6882</v>
      </c>
      <c r="E68" s="17">
        <v>0.65400000000000003</v>
      </c>
      <c r="F68" s="18">
        <v>7</v>
      </c>
      <c r="G68" s="18">
        <v>6440</v>
      </c>
    </row>
    <row r="69" spans="1:7" x14ac:dyDescent="0.2">
      <c r="A69" s="5"/>
      <c r="B69" s="17"/>
      <c r="C69" s="18"/>
      <c r="D69" s="18"/>
      <c r="E69" s="17"/>
      <c r="F69" s="18"/>
      <c r="G69" s="18"/>
    </row>
    <row r="70" spans="1:7" x14ac:dyDescent="0.2">
      <c r="A70" s="5" t="s">
        <v>43</v>
      </c>
      <c r="B70" s="17">
        <v>0.79</v>
      </c>
      <c r="C70" s="18">
        <v>5</v>
      </c>
      <c r="D70" s="18">
        <v>10478</v>
      </c>
      <c r="E70" s="17">
        <v>0.72099999999999997</v>
      </c>
      <c r="F70" s="18">
        <v>5</v>
      </c>
      <c r="G70" s="18">
        <v>10160</v>
      </c>
    </row>
    <row r="71" spans="1:7" x14ac:dyDescent="0.2">
      <c r="A71" s="5" t="s">
        <v>49</v>
      </c>
      <c r="B71" s="17">
        <v>0.66200000000000003</v>
      </c>
      <c r="C71" s="18">
        <v>15</v>
      </c>
      <c r="D71" s="18">
        <v>52080</v>
      </c>
      <c r="E71" s="17">
        <v>0.68400000000000005</v>
      </c>
      <c r="F71" s="18">
        <v>14</v>
      </c>
      <c r="G71" s="18">
        <v>46551</v>
      </c>
    </row>
    <row r="72" spans="1:7" x14ac:dyDescent="0.2">
      <c r="A72" s="5" t="s">
        <v>45</v>
      </c>
      <c r="B72" s="17">
        <v>0.79700000000000004</v>
      </c>
      <c r="C72" s="18">
        <v>1</v>
      </c>
      <c r="D72" s="18">
        <v>558</v>
      </c>
      <c r="E72" s="17">
        <v>0.72899999999999998</v>
      </c>
      <c r="F72" s="18">
        <v>1</v>
      </c>
      <c r="G72" s="18">
        <v>420</v>
      </c>
    </row>
  </sheetData>
  <mergeCells count="21">
    <mergeCell ref="B14:D14"/>
    <mergeCell ref="E14:G14"/>
    <mergeCell ref="H14:J14"/>
    <mergeCell ref="M14:O14"/>
    <mergeCell ref="Q3:S3"/>
    <mergeCell ref="B3:D3"/>
    <mergeCell ref="E3:G3"/>
    <mergeCell ref="H3:J3"/>
    <mergeCell ref="M3:O3"/>
    <mergeCell ref="H50:J50"/>
    <mergeCell ref="H38:J38"/>
    <mergeCell ref="H26:J26"/>
    <mergeCell ref="E26:G26"/>
    <mergeCell ref="Q14:S14"/>
    <mergeCell ref="B26:D26"/>
    <mergeCell ref="E38:G38"/>
    <mergeCell ref="B62:D62"/>
    <mergeCell ref="E50:G50"/>
    <mergeCell ref="B50:D50"/>
    <mergeCell ref="B38:D38"/>
    <mergeCell ref="E62:G6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47"/>
  <sheetViews>
    <sheetView topLeftCell="A31" workbookViewId="0">
      <selection activeCell="D49" sqref="A5:D49"/>
    </sheetView>
  </sheetViews>
  <sheetFormatPr defaultRowHeight="12.75" x14ac:dyDescent="0.2"/>
  <cols>
    <col min="1" max="1" width="24.7109375" customWidth="1"/>
    <col min="2" max="2" width="22.42578125" customWidth="1"/>
    <col min="3" max="3" width="23.85546875" customWidth="1"/>
  </cols>
  <sheetData>
    <row r="4" spans="1:3" x14ac:dyDescent="0.2">
      <c r="A4" t="s">
        <v>190</v>
      </c>
    </row>
    <row r="6" spans="1:3" x14ac:dyDescent="0.2">
      <c r="A6" s="69" t="s">
        <v>191</v>
      </c>
      <c r="B6" s="69" t="s">
        <v>192</v>
      </c>
      <c r="C6" s="69" t="s">
        <v>193</v>
      </c>
    </row>
    <row r="7" spans="1:3" x14ac:dyDescent="0.2">
      <c r="A7" s="67" t="s">
        <v>16</v>
      </c>
      <c r="B7" s="67" t="s">
        <v>7</v>
      </c>
      <c r="C7" s="67" t="s">
        <v>24</v>
      </c>
    </row>
    <row r="8" spans="1:3" x14ac:dyDescent="0.2">
      <c r="A8" s="67" t="s">
        <v>194</v>
      </c>
      <c r="B8" s="67" t="s">
        <v>10</v>
      </c>
      <c r="C8" s="67" t="s">
        <v>179</v>
      </c>
    </row>
    <row r="9" spans="1:3" x14ac:dyDescent="0.2">
      <c r="A9" s="67" t="s">
        <v>14</v>
      </c>
      <c r="B9" s="67" t="s">
        <v>19</v>
      </c>
      <c r="C9" s="67" t="s">
        <v>96</v>
      </c>
    </row>
    <row r="10" spans="1:3" x14ac:dyDescent="0.2">
      <c r="A10" s="67" t="s">
        <v>195</v>
      </c>
      <c r="B10" s="67" t="s">
        <v>35</v>
      </c>
      <c r="C10" s="67" t="s">
        <v>198</v>
      </c>
    </row>
    <row r="11" spans="1:3" x14ac:dyDescent="0.2">
      <c r="A11" s="67" t="s">
        <v>9</v>
      </c>
      <c r="B11" s="67" t="s">
        <v>6</v>
      </c>
      <c r="C11" s="67" t="s">
        <v>17</v>
      </c>
    </row>
    <row r="12" spans="1:3" x14ac:dyDescent="0.2">
      <c r="A12" s="67" t="s">
        <v>196</v>
      </c>
      <c r="B12" s="67" t="s">
        <v>34</v>
      </c>
      <c r="C12" s="67" t="s">
        <v>18</v>
      </c>
    </row>
    <row r="13" spans="1:3" x14ac:dyDescent="0.2">
      <c r="A13" s="67" t="s">
        <v>197</v>
      </c>
      <c r="B13" s="67" t="s">
        <v>126</v>
      </c>
      <c r="C13" s="67" t="s">
        <v>40</v>
      </c>
    </row>
    <row r="14" spans="1:3" x14ac:dyDescent="0.2">
      <c r="A14" s="67"/>
      <c r="B14" s="67" t="s">
        <v>28</v>
      </c>
      <c r="C14" s="67" t="s">
        <v>26</v>
      </c>
    </row>
    <row r="15" spans="1:3" x14ac:dyDescent="0.2">
      <c r="A15" s="67"/>
      <c r="B15" s="67" t="s">
        <v>120</v>
      </c>
      <c r="C15" s="67" t="s">
        <v>199</v>
      </c>
    </row>
    <row r="16" spans="1:3" x14ac:dyDescent="0.2">
      <c r="A16" s="67"/>
      <c r="B16" s="67"/>
      <c r="C16" s="67" t="s">
        <v>8</v>
      </c>
    </row>
    <row r="17" spans="1:3" x14ac:dyDescent="0.2">
      <c r="A17" s="67"/>
      <c r="B17" s="67"/>
      <c r="C17" s="67" t="s">
        <v>27</v>
      </c>
    </row>
    <row r="18" spans="1:3" x14ac:dyDescent="0.2">
      <c r="A18" s="67"/>
      <c r="B18" s="67"/>
      <c r="C18" s="70" t="s">
        <v>38</v>
      </c>
    </row>
    <row r="19" spans="1:3" x14ac:dyDescent="0.2">
      <c r="A19" s="67"/>
      <c r="B19" s="67"/>
      <c r="C19" s="67" t="s">
        <v>200</v>
      </c>
    </row>
    <row r="20" spans="1:3" x14ac:dyDescent="0.2">
      <c r="A20" s="67"/>
      <c r="B20" s="67"/>
      <c r="C20" s="67" t="s">
        <v>176</v>
      </c>
    </row>
    <row r="21" spans="1:3" x14ac:dyDescent="0.2">
      <c r="A21" s="67"/>
      <c r="B21" s="67"/>
      <c r="C21" s="67" t="s">
        <v>20</v>
      </c>
    </row>
    <row r="22" spans="1:3" x14ac:dyDescent="0.2">
      <c r="A22" s="67"/>
      <c r="B22" s="67"/>
      <c r="C22" s="67" t="s">
        <v>5</v>
      </c>
    </row>
    <row r="23" spans="1:3" x14ac:dyDescent="0.2">
      <c r="A23" s="67"/>
      <c r="B23" s="67"/>
      <c r="C23" s="67" t="s">
        <v>201</v>
      </c>
    </row>
    <row r="24" spans="1:3" x14ac:dyDescent="0.2">
      <c r="A24" s="68"/>
      <c r="B24" s="68"/>
      <c r="C24" s="68"/>
    </row>
    <row r="26" spans="1:3" x14ac:dyDescent="0.2">
      <c r="A26" s="69" t="s">
        <v>202</v>
      </c>
      <c r="B26" s="69" t="s">
        <v>49</v>
      </c>
      <c r="C26" s="69" t="s">
        <v>45</v>
      </c>
    </row>
    <row r="27" spans="1:3" x14ac:dyDescent="0.2">
      <c r="A27" s="67" t="s">
        <v>201</v>
      </c>
      <c r="B27" s="67" t="s">
        <v>7</v>
      </c>
      <c r="C27" s="67" t="s">
        <v>179</v>
      </c>
    </row>
    <row r="28" spans="1:3" x14ac:dyDescent="0.2">
      <c r="A28" s="67" t="s">
        <v>28</v>
      </c>
      <c r="B28" s="67" t="s">
        <v>96</v>
      </c>
      <c r="C28" s="67" t="s">
        <v>198</v>
      </c>
    </row>
    <row r="29" spans="1:3" x14ac:dyDescent="0.2">
      <c r="A29" s="67" t="s">
        <v>10</v>
      </c>
      <c r="B29" s="67" t="s">
        <v>34</v>
      </c>
      <c r="C29" s="67" t="s">
        <v>199</v>
      </c>
    </row>
    <row r="30" spans="1:3" x14ac:dyDescent="0.2">
      <c r="A30" s="67" t="s">
        <v>19</v>
      </c>
      <c r="B30" s="67" t="s">
        <v>126</v>
      </c>
      <c r="C30" s="67" t="s">
        <v>27</v>
      </c>
    </row>
    <row r="31" spans="1:3" x14ac:dyDescent="0.2">
      <c r="A31" s="67" t="s">
        <v>35</v>
      </c>
      <c r="B31" s="67" t="s">
        <v>120</v>
      </c>
      <c r="C31" s="67" t="s">
        <v>176</v>
      </c>
    </row>
    <row r="32" spans="1:3" x14ac:dyDescent="0.2">
      <c r="A32" s="67" t="s">
        <v>6</v>
      </c>
      <c r="B32" s="67" t="s">
        <v>18</v>
      </c>
      <c r="C32" s="67"/>
    </row>
    <row r="33" spans="1:3" x14ac:dyDescent="0.2">
      <c r="A33" s="70" t="s">
        <v>38</v>
      </c>
      <c r="B33" s="67" t="s">
        <v>40</v>
      </c>
      <c r="C33" s="67"/>
    </row>
    <row r="34" spans="1:3" x14ac:dyDescent="0.2">
      <c r="A34" s="67"/>
      <c r="B34" s="67" t="s">
        <v>26</v>
      </c>
      <c r="C34" s="67"/>
    </row>
    <row r="35" spans="1:3" x14ac:dyDescent="0.2">
      <c r="A35" s="67"/>
      <c r="B35" s="67" t="s">
        <v>8</v>
      </c>
      <c r="C35" s="67"/>
    </row>
    <row r="36" spans="1:3" x14ac:dyDescent="0.2">
      <c r="A36" s="67"/>
      <c r="B36" s="67" t="s">
        <v>200</v>
      </c>
      <c r="C36" s="67"/>
    </row>
    <row r="37" spans="1:3" x14ac:dyDescent="0.2">
      <c r="A37" s="67"/>
      <c r="B37" s="67" t="s">
        <v>20</v>
      </c>
      <c r="C37" s="67"/>
    </row>
    <row r="38" spans="1:3" x14ac:dyDescent="0.2">
      <c r="A38" s="67"/>
      <c r="B38" s="67" t="s">
        <v>5</v>
      </c>
      <c r="C38" s="67"/>
    </row>
    <row r="39" spans="1:3" x14ac:dyDescent="0.2">
      <c r="A39" s="67"/>
      <c r="B39" s="67" t="s">
        <v>16</v>
      </c>
      <c r="C39" s="70" t="s">
        <v>15</v>
      </c>
    </row>
    <row r="40" spans="1:3" x14ac:dyDescent="0.2">
      <c r="A40" s="67"/>
      <c r="B40" s="67" t="s">
        <v>194</v>
      </c>
      <c r="C40" s="70" t="s">
        <v>15</v>
      </c>
    </row>
    <row r="41" spans="1:3" x14ac:dyDescent="0.2">
      <c r="A41" s="67"/>
      <c r="B41" s="67" t="s">
        <v>14</v>
      </c>
      <c r="C41" s="67"/>
    </row>
    <row r="42" spans="1:3" x14ac:dyDescent="0.2">
      <c r="A42" s="67"/>
      <c r="B42" s="67" t="s">
        <v>195</v>
      </c>
      <c r="C42" s="67"/>
    </row>
    <row r="43" spans="1:3" x14ac:dyDescent="0.2">
      <c r="A43" s="67"/>
      <c r="B43" s="67" t="s">
        <v>9</v>
      </c>
      <c r="C43" s="67"/>
    </row>
    <row r="44" spans="1:3" x14ac:dyDescent="0.2">
      <c r="A44" s="67"/>
      <c r="B44" s="67" t="s">
        <v>196</v>
      </c>
      <c r="C44" s="67"/>
    </row>
    <row r="45" spans="1:3" x14ac:dyDescent="0.2">
      <c r="A45" s="67"/>
      <c r="B45" s="67" t="s">
        <v>197</v>
      </c>
      <c r="C45" s="67"/>
    </row>
    <row r="46" spans="1:3" x14ac:dyDescent="0.2">
      <c r="A46" s="67"/>
      <c r="B46" s="67" t="s">
        <v>17</v>
      </c>
      <c r="C46" s="67"/>
    </row>
    <row r="47" spans="1:3" x14ac:dyDescent="0.2">
      <c r="A47" s="68"/>
      <c r="B47" s="68" t="s">
        <v>24</v>
      </c>
      <c r="C47" s="6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workbookViewId="0">
      <selection activeCell="H43" sqref="H43"/>
    </sheetView>
  </sheetViews>
  <sheetFormatPr defaultRowHeight="12.75" x14ac:dyDescent="0.2"/>
  <sheetData>
    <row r="3" spans="1:8" x14ac:dyDescent="0.2">
      <c r="A3" s="32"/>
      <c r="B3" s="102" t="s">
        <v>209</v>
      </c>
      <c r="C3" s="102"/>
      <c r="D3" s="102"/>
      <c r="E3" s="32"/>
      <c r="F3" s="102" t="s">
        <v>210</v>
      </c>
      <c r="G3" s="102"/>
      <c r="H3" s="102"/>
    </row>
    <row r="4" spans="1:8" ht="22.5" x14ac:dyDescent="0.2">
      <c r="A4" s="32"/>
      <c r="B4" s="25" t="s">
        <v>4</v>
      </c>
      <c r="C4" s="26" t="s">
        <v>77</v>
      </c>
      <c r="D4" s="26" t="s">
        <v>70</v>
      </c>
      <c r="E4" s="32"/>
      <c r="F4" s="25" t="s">
        <v>4</v>
      </c>
      <c r="G4" s="26" t="s">
        <v>77</v>
      </c>
      <c r="H4" s="26" t="s">
        <v>70</v>
      </c>
    </row>
    <row r="5" spans="1:8" x14ac:dyDescent="0.2">
      <c r="A5" s="27" t="s">
        <v>47</v>
      </c>
      <c r="B5" s="33">
        <v>0.65</v>
      </c>
      <c r="C5" s="34"/>
      <c r="D5" s="34"/>
      <c r="E5" s="32"/>
      <c r="F5" s="33">
        <v>0.73499999999999999</v>
      </c>
      <c r="G5" s="34"/>
      <c r="H5" s="34"/>
    </row>
    <row r="6" spans="1:8" x14ac:dyDescent="0.2">
      <c r="A6" s="27"/>
      <c r="B6" s="33"/>
      <c r="C6" s="34"/>
      <c r="D6" s="34"/>
      <c r="E6" s="32"/>
      <c r="F6" s="33"/>
      <c r="G6" s="34"/>
      <c r="H6" s="34"/>
    </row>
    <row r="7" spans="1:8" x14ac:dyDescent="0.2">
      <c r="A7" s="27" t="s">
        <v>53</v>
      </c>
      <c r="B7" s="33">
        <v>0.61299999999999999</v>
      </c>
      <c r="C7" s="34"/>
      <c r="D7" s="34"/>
      <c r="E7" s="32"/>
      <c r="F7" s="33">
        <v>0.71799999999999997</v>
      </c>
      <c r="G7" s="34"/>
      <c r="H7" s="34"/>
    </row>
    <row r="8" spans="1:8" x14ac:dyDescent="0.2">
      <c r="A8" s="27" t="s">
        <v>50</v>
      </c>
      <c r="B8" s="33">
        <v>0.68799999999999994</v>
      </c>
      <c r="C8" s="34"/>
      <c r="D8" s="34"/>
      <c r="E8" s="32"/>
      <c r="F8" s="33">
        <v>0.76100000000000001</v>
      </c>
      <c r="G8" s="34"/>
      <c r="H8" s="34"/>
    </row>
    <row r="9" spans="1:8" x14ac:dyDescent="0.2">
      <c r="A9" s="27" t="s">
        <v>51</v>
      </c>
      <c r="B9" s="33">
        <v>0.74199999999999999</v>
      </c>
      <c r="C9" s="34"/>
      <c r="D9" s="34"/>
      <c r="E9" s="32"/>
      <c r="F9" s="33">
        <v>0.77400000000000002</v>
      </c>
      <c r="G9" s="34"/>
      <c r="H9" s="34"/>
    </row>
    <row r="10" spans="1:8" x14ac:dyDescent="0.2">
      <c r="A10" s="27"/>
      <c r="B10" s="33"/>
      <c r="C10" s="34"/>
      <c r="D10" s="34"/>
      <c r="E10" s="32"/>
      <c r="F10" s="33"/>
      <c r="G10" s="34"/>
      <c r="H10" s="34"/>
    </row>
    <row r="11" spans="1:8" x14ac:dyDescent="0.2">
      <c r="A11" s="27" t="s">
        <v>43</v>
      </c>
      <c r="B11" s="33">
        <v>0.78500000000000003</v>
      </c>
      <c r="C11" s="34"/>
      <c r="D11" s="34"/>
      <c r="E11" s="32"/>
      <c r="F11" s="33">
        <v>0.82199999999999995</v>
      </c>
      <c r="G11" s="34"/>
      <c r="H11" s="34"/>
    </row>
    <row r="12" spans="1:8" x14ac:dyDescent="0.2">
      <c r="A12" s="27" t="s">
        <v>49</v>
      </c>
      <c r="B12" s="33">
        <v>0.626</v>
      </c>
      <c r="C12" s="34"/>
      <c r="D12" s="34"/>
      <c r="E12" s="32"/>
      <c r="F12" s="33">
        <v>0.72299999999999998</v>
      </c>
      <c r="G12" s="34"/>
      <c r="H12" s="34"/>
    </row>
    <row r="13" spans="1:8" x14ac:dyDescent="0.2">
      <c r="A13" s="27" t="s">
        <v>45</v>
      </c>
      <c r="B13" s="33">
        <v>0.63600000000000001</v>
      </c>
      <c r="C13" s="34"/>
      <c r="D13" s="34"/>
      <c r="E13" s="32"/>
      <c r="F13" s="33">
        <v>0.61499999999999999</v>
      </c>
      <c r="G13" s="34"/>
      <c r="H13" s="34"/>
    </row>
  </sheetData>
  <mergeCells count="2">
    <mergeCell ref="B3:D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8"/>
  <sheetViews>
    <sheetView topLeftCell="A2" zoomScale="75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AJ78" sqref="AJ78"/>
    </sheetView>
  </sheetViews>
  <sheetFormatPr defaultRowHeight="12.75" x14ac:dyDescent="0.2"/>
  <cols>
    <col min="1" max="1" width="16" customWidth="1"/>
    <col min="2" max="2" width="7.5703125" customWidth="1"/>
    <col min="3" max="13" width="6.28515625" customWidth="1"/>
    <col min="14" max="14" width="5.28515625" customWidth="1"/>
    <col min="15" max="15" width="6.5703125" customWidth="1"/>
    <col min="16" max="24" width="5.28515625" customWidth="1"/>
    <col min="25" max="28" width="5.7109375" customWidth="1"/>
    <col min="29" max="29" width="6.7109375" customWidth="1"/>
    <col min="30" max="32" width="5.140625" customWidth="1"/>
    <col min="33" max="34" width="6" customWidth="1"/>
    <col min="35" max="35" width="5.7109375" customWidth="1"/>
    <col min="36" max="36" width="7.85546875" customWidth="1"/>
    <col min="37" max="37" width="8.7109375" customWidth="1"/>
    <col min="38" max="38" width="6.7109375" customWidth="1"/>
    <col min="39" max="39" width="8.28515625" customWidth="1"/>
    <col min="40" max="40" width="8" customWidth="1"/>
    <col min="41" max="41" width="7.42578125" customWidth="1"/>
    <col min="42" max="42" width="6.28515625" customWidth="1"/>
  </cols>
  <sheetData>
    <row r="1" spans="1:44" x14ac:dyDescent="0.2">
      <c r="L1" t="s">
        <v>15</v>
      </c>
      <c r="T1" t="s">
        <v>15</v>
      </c>
      <c r="V1" t="s">
        <v>15</v>
      </c>
      <c r="X1" t="s">
        <v>15</v>
      </c>
    </row>
    <row r="2" spans="1:44" x14ac:dyDescent="0.2">
      <c r="A2" t="s">
        <v>36</v>
      </c>
      <c r="B2" s="10"/>
      <c r="C2" s="10"/>
      <c r="D2" s="11"/>
      <c r="E2" s="11"/>
      <c r="F2" s="11"/>
      <c r="G2" s="10"/>
      <c r="H2" s="11"/>
      <c r="I2" s="11"/>
      <c r="J2" s="11"/>
      <c r="K2" s="10"/>
      <c r="L2" s="10"/>
      <c r="M2" s="11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0"/>
      <c r="AH2" s="10"/>
      <c r="AI2" s="10"/>
    </row>
    <row r="3" spans="1:44" x14ac:dyDescent="0.2">
      <c r="A3" t="s">
        <v>37</v>
      </c>
      <c r="B3" s="14"/>
      <c r="C3" s="14"/>
      <c r="D3" s="14"/>
      <c r="E3" s="14"/>
      <c r="F3" s="13"/>
      <c r="G3" s="15"/>
      <c r="H3" s="13"/>
      <c r="I3" s="14"/>
      <c r="J3" s="14"/>
      <c r="K3" s="14"/>
      <c r="L3" s="14"/>
      <c r="M3" s="13"/>
      <c r="N3" s="14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3"/>
    </row>
    <row r="4" spans="1:44" ht="124.5" x14ac:dyDescent="0.2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31</v>
      </c>
      <c r="H4" s="8" t="s">
        <v>19</v>
      </c>
      <c r="I4" s="8" t="s">
        <v>17</v>
      </c>
      <c r="J4" s="8" t="s">
        <v>18</v>
      </c>
      <c r="K4" s="7" t="s">
        <v>40</v>
      </c>
      <c r="L4" s="7" t="s">
        <v>26</v>
      </c>
      <c r="M4" s="8" t="s">
        <v>35</v>
      </c>
      <c r="N4" s="8" t="s">
        <v>12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69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41</v>
      </c>
      <c r="AG4" s="7" t="s">
        <v>5</v>
      </c>
      <c r="AH4" s="7" t="s">
        <v>68</v>
      </c>
      <c r="AI4" s="7" t="s">
        <v>11</v>
      </c>
      <c r="AJ4" s="4" t="s">
        <v>13</v>
      </c>
      <c r="AK4" s="1" t="s">
        <v>21</v>
      </c>
      <c r="AL4" s="1" t="s">
        <v>22</v>
      </c>
      <c r="AM4" s="1" t="s">
        <v>23</v>
      </c>
      <c r="AN4" s="1" t="s">
        <v>43</v>
      </c>
      <c r="AO4" s="1" t="s">
        <v>44</v>
      </c>
      <c r="AP4" s="1" t="s">
        <v>45</v>
      </c>
    </row>
    <row r="5" spans="1:44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J5" s="5"/>
    </row>
    <row r="6" spans="1:44" x14ac:dyDescent="0.2">
      <c r="A6" t="s">
        <v>1</v>
      </c>
      <c r="C6">
        <v>1612</v>
      </c>
      <c r="E6">
        <v>1984</v>
      </c>
      <c r="F6">
        <v>3379</v>
      </c>
      <c r="G6">
        <v>434</v>
      </c>
      <c r="H6">
        <v>2728</v>
      </c>
      <c r="I6">
        <v>1767</v>
      </c>
      <c r="J6">
        <v>1178</v>
      </c>
      <c r="L6">
        <v>434</v>
      </c>
      <c r="M6">
        <v>2232</v>
      </c>
      <c r="O6">
        <v>558</v>
      </c>
      <c r="P6">
        <v>2852</v>
      </c>
      <c r="R6">
        <v>3441</v>
      </c>
      <c r="S6">
        <v>6510</v>
      </c>
      <c r="T6">
        <v>1426</v>
      </c>
      <c r="U6">
        <v>775</v>
      </c>
      <c r="V6">
        <v>14384</v>
      </c>
      <c r="W6">
        <v>1798</v>
      </c>
      <c r="X6">
        <v>1240</v>
      </c>
      <c r="Y6">
        <v>775</v>
      </c>
      <c r="AB6">
        <v>5580</v>
      </c>
      <c r="AC6">
        <v>12183</v>
      </c>
      <c r="AD6">
        <v>356</v>
      </c>
      <c r="AE6">
        <v>5208</v>
      </c>
      <c r="AG6">
        <v>1581</v>
      </c>
      <c r="AH6">
        <v>4154</v>
      </c>
      <c r="AI6">
        <v>1054</v>
      </c>
      <c r="AJ6" s="5">
        <f>SUM(C6:AI6)</f>
        <v>79623</v>
      </c>
      <c r="AK6">
        <f>+AB6+Q6+V6+AC6+AE6+AF6+S6</f>
        <v>43865</v>
      </c>
      <c r="AL6" s="20">
        <f>+D6+F6+H6+I6+J6+M6+N6+P6+R6+X6+E6+AH6+W6</f>
        <v>26753</v>
      </c>
      <c r="AM6">
        <f>+C6+G6+O6+Y6+AD6+AI6+AG6+K6+L6+U6+T6+Z6+AA6</f>
        <v>9005</v>
      </c>
      <c r="AN6">
        <f>+F6+H6+M6+P6+U6+X6+AI6</f>
        <v>14260</v>
      </c>
      <c r="AO6" s="20">
        <f>+B6+C6+D6+I6+J6+K6+L6+N6+O6+Q6+R6+V6+Y6+AB6+AC6+AD6+AE6+AF6+AG6+S6+E6+AH6+W6</f>
        <v>63503</v>
      </c>
      <c r="AP6">
        <f>+AA6+Z6+T6+G6</f>
        <v>1860</v>
      </c>
      <c r="AQ6">
        <f>+AK6+AL6+AM6</f>
        <v>79623</v>
      </c>
      <c r="AR6">
        <f>+AN6+AO6+AP6</f>
        <v>79623</v>
      </c>
    </row>
    <row r="7" spans="1:44" x14ac:dyDescent="0.2">
      <c r="A7" t="s">
        <v>2</v>
      </c>
      <c r="C7">
        <v>456</v>
      </c>
      <c r="E7">
        <f>+E6*0.622</f>
        <v>1234.048</v>
      </c>
      <c r="F7">
        <f>+F6*0.747</f>
        <v>2524.1129999999998</v>
      </c>
      <c r="G7">
        <v>329</v>
      </c>
      <c r="H7">
        <v>2085</v>
      </c>
      <c r="I7">
        <v>1661</v>
      </c>
      <c r="J7">
        <v>1013</v>
      </c>
      <c r="L7">
        <v>217</v>
      </c>
      <c r="M7">
        <f>+M6*0.807</f>
        <v>1801.2240000000002</v>
      </c>
      <c r="O7">
        <v>465</v>
      </c>
      <c r="P7">
        <v>2528</v>
      </c>
      <c r="R7">
        <f>+R6*0.784</f>
        <v>2697.7440000000001</v>
      </c>
      <c r="S7">
        <f>+S6*0.6</f>
        <v>3906</v>
      </c>
      <c r="T7">
        <f>+T6*0.69</f>
        <v>983.93999999999994</v>
      </c>
      <c r="U7">
        <f>+U6*0.65</f>
        <v>503.75</v>
      </c>
      <c r="V7">
        <v>10513</v>
      </c>
      <c r="W7">
        <v>1241</v>
      </c>
      <c r="X7">
        <v>1039</v>
      </c>
      <c r="Y7">
        <v>134</v>
      </c>
      <c r="AB7">
        <f>+AB6*0.73</f>
        <v>4073.4</v>
      </c>
      <c r="AC7">
        <f>+AC6*0.8869</f>
        <v>10805.102699999999</v>
      </c>
      <c r="AD7">
        <v>293</v>
      </c>
      <c r="AE7">
        <v>3928</v>
      </c>
      <c r="AG7">
        <v>1557</v>
      </c>
      <c r="AH7">
        <v>2153</v>
      </c>
      <c r="AI7">
        <v>794</v>
      </c>
      <c r="AJ7" s="5">
        <f>SUM(C7:AI7)</f>
        <v>58935.3217</v>
      </c>
      <c r="AK7">
        <f>+AB7+Q7+V7+AC7+AE7+AF7+S7</f>
        <v>33225.502699999997</v>
      </c>
      <c r="AL7" s="20">
        <f>+D7+F7+H7+I7+J7+M7+N7+P7+R7+X7+E7+AH7+W7</f>
        <v>19977.129000000001</v>
      </c>
      <c r="AM7">
        <f>+C7+G7+O7+Y7+AD7+AI7+AG7+K7+L7+U7+T7+Z7+AA7</f>
        <v>5732.69</v>
      </c>
      <c r="AN7">
        <f>+F7+H7+M7+P7+U7+X7+AI7</f>
        <v>11275.087</v>
      </c>
      <c r="AO7" s="20">
        <f>+B7+C7+D7+I7+J7+K7+L7+N7+O7+Q7+R7+V7+Y7+AB7+AC7+AD7+AE7+AF7+AG7+S7+E7+AH7+W7</f>
        <v>46347.294700000006</v>
      </c>
      <c r="AP7">
        <f>+AA7+Z7+T7+G7</f>
        <v>1312.94</v>
      </c>
    </row>
    <row r="8" spans="1:44" x14ac:dyDescent="0.2">
      <c r="A8" t="s">
        <v>4</v>
      </c>
      <c r="C8" s="3">
        <f>+C7/C6</f>
        <v>0.28287841191066998</v>
      </c>
      <c r="D8" s="3"/>
      <c r="E8" s="3">
        <f t="shared" ref="E8:J8" si="0">+E7/E6</f>
        <v>0.622</v>
      </c>
      <c r="F8" s="3">
        <f t="shared" si="0"/>
        <v>0.747</v>
      </c>
      <c r="G8" s="3">
        <f t="shared" si="0"/>
        <v>0.75806451612903225</v>
      </c>
      <c r="H8" s="3">
        <f t="shared" si="0"/>
        <v>0.76429618768328444</v>
      </c>
      <c r="I8" s="3">
        <f t="shared" si="0"/>
        <v>0.94001131861912846</v>
      </c>
      <c r="J8" s="3">
        <f t="shared" si="0"/>
        <v>0.85993208828522916</v>
      </c>
      <c r="K8" s="3"/>
      <c r="L8" s="3">
        <f t="shared" ref="L8:T8" si="1">+L7/L6</f>
        <v>0.5</v>
      </c>
      <c r="M8" s="3">
        <f t="shared" si="1"/>
        <v>0.80700000000000005</v>
      </c>
      <c r="N8" s="3" t="s">
        <v>15</v>
      </c>
      <c r="O8" s="3">
        <f t="shared" si="1"/>
        <v>0.83333333333333337</v>
      </c>
      <c r="P8" s="3">
        <f t="shared" si="1"/>
        <v>0.8863955119214586</v>
      </c>
      <c r="Q8" s="3" t="e">
        <f t="shared" si="1"/>
        <v>#DIV/0!</v>
      </c>
      <c r="R8" s="3">
        <f t="shared" si="1"/>
        <v>0.78400000000000003</v>
      </c>
      <c r="S8" s="3">
        <f t="shared" si="1"/>
        <v>0.6</v>
      </c>
      <c r="T8" s="3">
        <f t="shared" si="1"/>
        <v>0.69</v>
      </c>
      <c r="U8" s="3">
        <f>+U7/U6</f>
        <v>0.65</v>
      </c>
      <c r="V8" s="3">
        <f>+V7/V6</f>
        <v>0.73088153503893216</v>
      </c>
      <c r="W8" s="3">
        <f>+W7/W6</f>
        <v>0.69021134593993327</v>
      </c>
      <c r="X8" s="3">
        <f>+X7/X6</f>
        <v>0.8379032258064516</v>
      </c>
      <c r="Y8" s="3">
        <f>+Y7/Y6</f>
        <v>0.17290322580645162</v>
      </c>
      <c r="Z8" s="3"/>
      <c r="AA8" s="3"/>
      <c r="AB8" s="3">
        <f t="shared" ref="AB8:AH8" si="2">+AB7/AB6</f>
        <v>0.73</v>
      </c>
      <c r="AC8" s="3">
        <f t="shared" si="2"/>
        <v>0.88689999999999991</v>
      </c>
      <c r="AD8" s="3">
        <f t="shared" si="2"/>
        <v>0.8230337078651685</v>
      </c>
      <c r="AE8" s="3">
        <f t="shared" si="2"/>
        <v>0.75422427035330264</v>
      </c>
      <c r="AF8" s="3" t="e">
        <f t="shared" si="2"/>
        <v>#DIV/0!</v>
      </c>
      <c r="AG8" s="3">
        <f t="shared" si="2"/>
        <v>0.98481973434535108</v>
      </c>
      <c r="AH8" s="3">
        <f t="shared" si="2"/>
        <v>0.51829561868078955</v>
      </c>
      <c r="AI8" s="3">
        <f t="shared" ref="AI8:AP8" si="3">+AI7/AI6</f>
        <v>0.75332068311195444</v>
      </c>
      <c r="AJ8" s="6">
        <f t="shared" si="3"/>
        <v>0.74017961769840368</v>
      </c>
      <c r="AK8" s="3">
        <f t="shared" si="3"/>
        <v>0.75744905277556129</v>
      </c>
      <c r="AL8" s="3">
        <f t="shared" si="3"/>
        <v>0.74672481590849626</v>
      </c>
      <c r="AM8" s="3">
        <f t="shared" si="3"/>
        <v>0.63661188228761789</v>
      </c>
      <c r="AN8" s="3">
        <f t="shared" si="3"/>
        <v>0.79067931276297332</v>
      </c>
      <c r="AO8" s="3">
        <f t="shared" si="3"/>
        <v>0.72984417586570727</v>
      </c>
      <c r="AP8" s="3">
        <f t="shared" si="3"/>
        <v>0.70588172043010755</v>
      </c>
    </row>
    <row r="9" spans="1:44" x14ac:dyDescent="0.2">
      <c r="A9" s="20"/>
      <c r="B9" s="20"/>
      <c r="C9" s="20">
        <v>1</v>
      </c>
      <c r="D9" s="20"/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/>
      <c r="L9" s="20">
        <v>1</v>
      </c>
      <c r="M9" s="20">
        <v>1</v>
      </c>
      <c r="N9" s="20"/>
      <c r="O9" s="20">
        <v>1</v>
      </c>
      <c r="P9" s="20">
        <v>1</v>
      </c>
      <c r="Q9" s="20"/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/>
      <c r="AG9" s="20">
        <v>1</v>
      </c>
      <c r="AH9" s="20">
        <v>1</v>
      </c>
      <c r="AI9" s="20">
        <v>1</v>
      </c>
      <c r="AJ9" s="19">
        <f>SUM(C9:AI9)</f>
        <v>26</v>
      </c>
      <c r="AK9" s="20">
        <f>+AB9+Q9+V9+AC9+AE9+AF9+S9</f>
        <v>5</v>
      </c>
      <c r="AL9" s="20">
        <f>+D9+F9+H9+I9+J9+M9+N9+P9+R9+X9+E9+AH9+W9</f>
        <v>11</v>
      </c>
      <c r="AM9">
        <f>+C9+G9+O9+Y9+AD9+AI9+AG9+K9+L9+U9+T9+Z9+AA9</f>
        <v>10</v>
      </c>
      <c r="AN9" s="20">
        <f>+F9+H9+M9+P9+U9+X9+AI9</f>
        <v>7</v>
      </c>
      <c r="AO9" s="20">
        <f>+B9+C9+D9+I9+J9+K9+L9+N9+O9+Q9+R9+V9+Y9+AB9+AC9+AD9+AE9+AF9+AG9+S9+E9+AH9+W9</f>
        <v>17</v>
      </c>
      <c r="AP9">
        <f>+AA9+Z9+T9+G9</f>
        <v>2</v>
      </c>
    </row>
    <row r="10" spans="1:44" x14ac:dyDescent="0.2">
      <c r="AA10" t="s">
        <v>15</v>
      </c>
    </row>
    <row r="11" spans="1:44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J11" s="5"/>
    </row>
    <row r="12" spans="1:44" x14ac:dyDescent="0.2">
      <c r="A12" t="s">
        <v>1</v>
      </c>
      <c r="C12">
        <v>1508</v>
      </c>
      <c r="E12">
        <v>1856</v>
      </c>
      <c r="F12">
        <v>3161</v>
      </c>
      <c r="G12">
        <v>406</v>
      </c>
      <c r="H12">
        <v>2552</v>
      </c>
      <c r="I12">
        <v>1653</v>
      </c>
      <c r="J12">
        <v>1102</v>
      </c>
      <c r="L12">
        <v>406</v>
      </c>
      <c r="M12">
        <v>2088</v>
      </c>
      <c r="O12">
        <v>522</v>
      </c>
      <c r="P12">
        <v>2668</v>
      </c>
      <c r="R12">
        <v>3219</v>
      </c>
      <c r="S12">
        <v>6090</v>
      </c>
      <c r="T12">
        <v>1334</v>
      </c>
      <c r="U12">
        <v>725</v>
      </c>
      <c r="V12">
        <v>13456</v>
      </c>
      <c r="W12">
        <v>1682</v>
      </c>
      <c r="X12">
        <v>1160</v>
      </c>
      <c r="AB12">
        <v>5220</v>
      </c>
      <c r="AC12">
        <f>393*29</f>
        <v>11397</v>
      </c>
      <c r="AD12">
        <v>377</v>
      </c>
      <c r="AE12">
        <v>4756</v>
      </c>
      <c r="AF12">
        <v>3596</v>
      </c>
      <c r="AG12">
        <v>1479</v>
      </c>
      <c r="AH12">
        <v>4060</v>
      </c>
      <c r="AI12">
        <v>986</v>
      </c>
      <c r="AJ12" s="5">
        <f>SUM(C12:AI12)</f>
        <v>77459</v>
      </c>
      <c r="AK12">
        <f>+AB12+Q12+V12+AC12+AE12+AF12+S12</f>
        <v>44515</v>
      </c>
      <c r="AL12" s="20">
        <f>+D12+F12+H12+I12+J12+M12+N12+P12+R12+X12+E12+AH12+W12</f>
        <v>25201</v>
      </c>
      <c r="AM12">
        <f>+C12+G12+O12+Y12+AD12+AI12+AG12+K12+L12+U12+T12+Z12+AA12</f>
        <v>7743</v>
      </c>
      <c r="AN12">
        <f>+F12+H12+M12+P12+U12+X12+AI12</f>
        <v>13340</v>
      </c>
      <c r="AO12" s="20">
        <f>+B12+C12+D12+I12+J12+K12+L12+N12+O12+Q12+R12+V12+Y12+AB12+AC12+AD12+AE12+AF12+AG12+S12+E12+AH12+W12</f>
        <v>62379</v>
      </c>
      <c r="AP12">
        <f>+AA12+Z12+T12+G12</f>
        <v>1740</v>
      </c>
      <c r="AQ12">
        <f>+AK12+AL12+AM12</f>
        <v>77459</v>
      </c>
      <c r="AR12">
        <f>+AN12+AO12+AP12</f>
        <v>77459</v>
      </c>
    </row>
    <row r="13" spans="1:44" x14ac:dyDescent="0.2">
      <c r="A13" t="s">
        <v>2</v>
      </c>
      <c r="C13">
        <v>608</v>
      </c>
      <c r="E13">
        <v>1282</v>
      </c>
      <c r="F13">
        <v>2845</v>
      </c>
      <c r="G13">
        <v>399</v>
      </c>
      <c r="H13">
        <v>1991</v>
      </c>
      <c r="I13">
        <v>1554</v>
      </c>
      <c r="J13">
        <v>1003</v>
      </c>
      <c r="L13">
        <v>190</v>
      </c>
      <c r="M13">
        <v>1862</v>
      </c>
      <c r="O13">
        <v>350</v>
      </c>
      <c r="P13">
        <v>2416</v>
      </c>
      <c r="R13">
        <v>2704</v>
      </c>
      <c r="S13">
        <v>3124</v>
      </c>
      <c r="T13">
        <v>1034</v>
      </c>
      <c r="U13">
        <v>544</v>
      </c>
      <c r="V13">
        <v>11656</v>
      </c>
      <c r="W13">
        <v>1480</v>
      </c>
      <c r="X13">
        <v>996</v>
      </c>
      <c r="AB13">
        <v>4280</v>
      </c>
      <c r="AC13">
        <f>+AC12*0.8999</f>
        <v>10256.1603</v>
      </c>
      <c r="AD13">
        <v>327</v>
      </c>
      <c r="AE13">
        <v>4173</v>
      </c>
      <c r="AF13">
        <v>3162</v>
      </c>
      <c r="AG13">
        <v>1479</v>
      </c>
      <c r="AH13">
        <v>2286</v>
      </c>
      <c r="AI13">
        <v>789</v>
      </c>
      <c r="AJ13" s="5">
        <f>SUM(C13:AI13)</f>
        <v>62790.160300000003</v>
      </c>
      <c r="AK13">
        <f>+AB13+Q13+V13+AC13+AE13+AF13+S13</f>
        <v>36651.160300000003</v>
      </c>
      <c r="AL13" s="20">
        <f>+D13+F13+H13+I13+J13+M13+N13+P13+R13+X13+E13+AH13+W13</f>
        <v>20419</v>
      </c>
      <c r="AM13">
        <f>+C13+G13+O13+Y13+AD13+AI13+AG13+K13+L13+U13+T13+Z13+AA13</f>
        <v>5720</v>
      </c>
      <c r="AN13">
        <f>+F13+H13+M13+P13+U13+X13+AI13</f>
        <v>11443</v>
      </c>
      <c r="AO13" s="20">
        <f>+B13+C13+D13+I13+J13+K13+L13+N13+O13+Q13+R13+V13+Y13+AB13+AC13+AD13+AE13+AF13+AG13+S13+E13+AH13+W13</f>
        <v>49914.160300000003</v>
      </c>
      <c r="AP13">
        <f>+AA13+Z13+T13+G13</f>
        <v>1433</v>
      </c>
    </row>
    <row r="14" spans="1:44" x14ac:dyDescent="0.2">
      <c r="A14" t="s">
        <v>4</v>
      </c>
      <c r="C14" s="3">
        <f>+C13/C12</f>
        <v>0.40318302387267907</v>
      </c>
      <c r="D14" s="3"/>
      <c r="E14" s="3">
        <f t="shared" ref="E14:J14" si="4">+E13/E12</f>
        <v>0.69073275862068961</v>
      </c>
      <c r="F14" s="3">
        <f t="shared" si="4"/>
        <v>0.90003163555836763</v>
      </c>
      <c r="G14" s="3">
        <f t="shared" si="4"/>
        <v>0.98275862068965514</v>
      </c>
      <c r="H14" s="3">
        <f t="shared" si="4"/>
        <v>0.78017241379310343</v>
      </c>
      <c r="I14" s="3">
        <f t="shared" si="4"/>
        <v>0.94010889292196009</v>
      </c>
      <c r="J14" s="3">
        <f t="shared" si="4"/>
        <v>0.91016333938294014</v>
      </c>
      <c r="K14" s="3"/>
      <c r="L14" s="3">
        <f t="shared" ref="L14:S14" si="5">+L13/L12</f>
        <v>0.46798029556650245</v>
      </c>
      <c r="M14" s="3">
        <f t="shared" si="5"/>
        <v>0.89176245210727967</v>
      </c>
      <c r="N14" s="3">
        <v>0</v>
      </c>
      <c r="O14" s="3">
        <f t="shared" si="5"/>
        <v>0.67049808429118773</v>
      </c>
      <c r="P14" s="3">
        <f t="shared" si="5"/>
        <v>0.90554722638680663</v>
      </c>
      <c r="Q14" s="3" t="e">
        <f t="shared" si="5"/>
        <v>#DIV/0!</v>
      </c>
      <c r="R14" s="3">
        <f t="shared" si="5"/>
        <v>0.84001242621932282</v>
      </c>
      <c r="S14" s="3">
        <f t="shared" si="5"/>
        <v>0.51297208538587846</v>
      </c>
      <c r="T14" s="3">
        <f t="shared" ref="T14:Y14" si="6">+T13/T12</f>
        <v>0.77511244377811095</v>
      </c>
      <c r="U14" s="3">
        <f t="shared" si="6"/>
        <v>0.75034482758620691</v>
      </c>
      <c r="V14" s="3">
        <f t="shared" si="6"/>
        <v>0.86623067776456597</v>
      </c>
      <c r="W14" s="3">
        <f t="shared" si="6"/>
        <v>0.87990487514863258</v>
      </c>
      <c r="X14" s="3">
        <f t="shared" si="6"/>
        <v>0.85862068965517246</v>
      </c>
      <c r="Y14" s="3" t="e">
        <f t="shared" si="6"/>
        <v>#DIV/0!</v>
      </c>
      <c r="Z14" s="3"/>
      <c r="AA14" s="3"/>
      <c r="AB14" s="3">
        <f t="shared" ref="AB14:AH14" si="7">+AB13/AB12</f>
        <v>0.81992337164750961</v>
      </c>
      <c r="AC14" s="3">
        <f t="shared" si="7"/>
        <v>0.89989999999999992</v>
      </c>
      <c r="AD14" s="3">
        <f t="shared" si="7"/>
        <v>0.86737400530503983</v>
      </c>
      <c r="AE14" s="3">
        <f t="shared" si="7"/>
        <v>0.87741799831791423</v>
      </c>
      <c r="AF14" s="3">
        <f t="shared" si="7"/>
        <v>0.87931034482758619</v>
      </c>
      <c r="AG14" s="3">
        <f t="shared" si="7"/>
        <v>1</v>
      </c>
      <c r="AH14" s="3">
        <f t="shared" si="7"/>
        <v>0.56305418719211819</v>
      </c>
      <c r="AI14" s="3">
        <f t="shared" ref="AI14:AP14" si="8">+AI13/AI12</f>
        <v>0.80020283975659234</v>
      </c>
      <c r="AJ14" s="6">
        <f t="shared" si="8"/>
        <v>0.81062446326443671</v>
      </c>
      <c r="AK14" s="3">
        <f t="shared" si="8"/>
        <v>0.82334404807368311</v>
      </c>
      <c r="AL14" s="3">
        <f t="shared" si="8"/>
        <v>0.81024562517360421</v>
      </c>
      <c r="AM14" s="3">
        <f t="shared" si="8"/>
        <v>0.73873175771664734</v>
      </c>
      <c r="AN14" s="3">
        <f t="shared" si="8"/>
        <v>0.85779610194902545</v>
      </c>
      <c r="AO14" s="3">
        <f t="shared" si="8"/>
        <v>0.80017570496481194</v>
      </c>
      <c r="AP14" s="3">
        <f t="shared" si="8"/>
        <v>0.8235632183908046</v>
      </c>
    </row>
    <row r="15" spans="1:44" x14ac:dyDescent="0.2">
      <c r="A15" s="20"/>
      <c r="B15" s="20"/>
      <c r="C15" s="20">
        <v>1</v>
      </c>
      <c r="D15" s="20"/>
      <c r="E15" s="20">
        <v>1</v>
      </c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/>
      <c r="L15" s="20">
        <v>1</v>
      </c>
      <c r="M15" s="20">
        <v>1</v>
      </c>
      <c r="N15" s="20"/>
      <c r="O15" s="20">
        <v>1</v>
      </c>
      <c r="P15" s="20">
        <v>1</v>
      </c>
      <c r="Q15" s="20"/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/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19">
        <f>SUM(C15:AI15)</f>
        <v>26</v>
      </c>
      <c r="AK15" s="20">
        <f>+AB15+Q15+V15+AC15+AE15+AF15+S15</f>
        <v>6</v>
      </c>
      <c r="AL15" s="20">
        <f>+D15+F15+H15+I15+J15+M15+N15+P15+R15+X15+E15+AH15+W15</f>
        <v>11</v>
      </c>
      <c r="AM15">
        <f>+C15+G15+O15+Y15+AD15+AI15+AG15+K15+L15+U15+T15+Z15+AA15</f>
        <v>9</v>
      </c>
      <c r="AN15" s="20">
        <f>+F15+H15+M15+P15+U15+X15+AI15</f>
        <v>7</v>
      </c>
      <c r="AO15" s="20">
        <f>+B15+C15+D15+I15+J15+K15+L15+N15+O15+Q15+R15+V15+Y15+AB15+AC15+AD15+AE15+AF15+AG15+S15+E15+AH15+W15</f>
        <v>17</v>
      </c>
      <c r="AP15">
        <f>+AA15+Z15+T15+G15</f>
        <v>2</v>
      </c>
    </row>
    <row r="17" spans="1:44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J17" s="5"/>
    </row>
    <row r="18" spans="1:44" x14ac:dyDescent="0.2">
      <c r="A18" t="s">
        <v>1</v>
      </c>
      <c r="C18">
        <v>1612</v>
      </c>
      <c r="E18">
        <v>1984</v>
      </c>
      <c r="F18">
        <v>3379</v>
      </c>
      <c r="G18">
        <v>434</v>
      </c>
      <c r="H18">
        <v>2728</v>
      </c>
      <c r="I18">
        <v>1767</v>
      </c>
      <c r="J18">
        <v>1178</v>
      </c>
      <c r="L18">
        <v>434</v>
      </c>
      <c r="M18">
        <v>2232</v>
      </c>
      <c r="O18">
        <v>744</v>
      </c>
      <c r="P18">
        <v>2852</v>
      </c>
      <c r="R18">
        <v>3441</v>
      </c>
      <c r="S18">
        <v>6510</v>
      </c>
      <c r="U18">
        <v>775</v>
      </c>
      <c r="V18">
        <v>14384</v>
      </c>
      <c r="W18">
        <v>1674</v>
      </c>
      <c r="X18">
        <v>1240</v>
      </c>
      <c r="Y18">
        <v>775</v>
      </c>
      <c r="AB18">
        <v>5580</v>
      </c>
      <c r="AC18">
        <v>12183</v>
      </c>
      <c r="AD18">
        <f>13*31</f>
        <v>403</v>
      </c>
      <c r="AE18">
        <v>5208</v>
      </c>
      <c r="AF18">
        <v>3844</v>
      </c>
      <c r="AG18">
        <v>1581</v>
      </c>
      <c r="AH18">
        <v>4650</v>
      </c>
      <c r="AI18">
        <v>1054</v>
      </c>
      <c r="AJ18" s="5">
        <f>SUM(C18:AI18)</f>
        <v>82646</v>
      </c>
      <c r="AK18">
        <f>+AB18+Q18+V18+AC18+AE18+AF18+S18</f>
        <v>47709</v>
      </c>
      <c r="AL18" s="20">
        <f>+D18+F18+H18+I18+J18+M18+N18+P18+R18+X18+E18+AH18+W18</f>
        <v>27125</v>
      </c>
      <c r="AM18">
        <f>+C18+G18+O18+Y18+AD18+AI18+AG18+K18+L18+U18+T18+Z18+AA18</f>
        <v>7812</v>
      </c>
      <c r="AN18">
        <f>+F18+H18+M18+P18+U18+X18+AI18</f>
        <v>14260</v>
      </c>
      <c r="AO18" s="20">
        <f>+B18+C18+D18+I18+J18+K18+L18+N18+O18+Q18+R18+V18+Y18+AB18+AC18+AD18+AE18+AF18+AG18+S18+E18+AH18+W18</f>
        <v>67952</v>
      </c>
      <c r="AP18">
        <f>+AA18+Z18+T18+G18</f>
        <v>434</v>
      </c>
      <c r="AQ18">
        <f>+AK18+AL18+AM18</f>
        <v>82646</v>
      </c>
      <c r="AR18">
        <f>+AN18+AO18+AP18</f>
        <v>82646</v>
      </c>
    </row>
    <row r="19" spans="1:44" x14ac:dyDescent="0.2">
      <c r="A19" t="s">
        <v>2</v>
      </c>
      <c r="C19">
        <v>296</v>
      </c>
      <c r="E19">
        <v>1165</v>
      </c>
      <c r="F19">
        <v>2886</v>
      </c>
      <c r="G19">
        <v>342</v>
      </c>
      <c r="H19">
        <v>2051</v>
      </c>
      <c r="I19">
        <v>1643</v>
      </c>
      <c r="J19">
        <v>1001</v>
      </c>
      <c r="L19">
        <v>149</v>
      </c>
      <c r="M19">
        <v>1904</v>
      </c>
      <c r="O19">
        <v>558</v>
      </c>
      <c r="P19">
        <v>2047</v>
      </c>
      <c r="R19">
        <v>2354</v>
      </c>
      <c r="S19">
        <f>+S18*0.42</f>
        <v>2734.2</v>
      </c>
      <c r="U19">
        <v>504</v>
      </c>
      <c r="V19">
        <v>10655</v>
      </c>
      <c r="W19">
        <v>1218</v>
      </c>
      <c r="X19">
        <v>1060</v>
      </c>
      <c r="Y19">
        <v>119</v>
      </c>
      <c r="AB19">
        <f>+AB18*0.63</f>
        <v>3515.4</v>
      </c>
      <c r="AC19">
        <f>+AC18*0.9152</f>
        <v>11149.881600000001</v>
      </c>
      <c r="AD19">
        <v>269</v>
      </c>
      <c r="AE19">
        <v>4132</v>
      </c>
      <c r="AF19">
        <f>+AF18*0.89</f>
        <v>3421.16</v>
      </c>
      <c r="AG19">
        <v>1581</v>
      </c>
      <c r="AH19">
        <v>2563</v>
      </c>
      <c r="AI19">
        <f>+AI18*0.722</f>
        <v>760.98799999999994</v>
      </c>
      <c r="AJ19" s="5">
        <f>SUM(C19:AI19)</f>
        <v>60078.6296</v>
      </c>
      <c r="AK19">
        <f>+AB19+Q19+V19+AC19+AE19+AF19+S19</f>
        <v>35607.641600000003</v>
      </c>
      <c r="AL19" s="20">
        <f>+D19+F19+H19+I19+J19+M19+N19+P19+R19+X19+E19+AH19+W19</f>
        <v>19892</v>
      </c>
      <c r="AM19">
        <f>+C19+G19+O19+Y19+AD19+AI19+AG19+K19+L19+U19+T19+Z19+AA19</f>
        <v>4578.9879999999994</v>
      </c>
      <c r="AN19">
        <f>+F19+H19+M19+P19+U19+X19+AI19</f>
        <v>11212.987999999999</v>
      </c>
      <c r="AO19" s="20">
        <f>+B19+C19+D19+I19+J19+K19+L19+N19+O19+Q19+R19+V19+Y19+AB19+AC19+AD19+AE19+AF19+AG19+S19+E19+AH19+W19</f>
        <v>48523.641600000003</v>
      </c>
      <c r="AP19">
        <f>+AA19+Z19+T19+G19</f>
        <v>342</v>
      </c>
      <c r="AQ19">
        <f>+AK19+AL19+AM19</f>
        <v>60078.6296</v>
      </c>
      <c r="AR19">
        <f>+AN19+AO19+AP19</f>
        <v>60078.6296</v>
      </c>
    </row>
    <row r="20" spans="1:44" x14ac:dyDescent="0.2">
      <c r="A20" t="s">
        <v>4</v>
      </c>
      <c r="C20" s="3">
        <f>+C19/C18</f>
        <v>0.18362282878411912</v>
      </c>
      <c r="D20" s="3"/>
      <c r="E20" s="3">
        <f t="shared" ref="E20:J20" si="9">+E19/E18</f>
        <v>0.58719758064516125</v>
      </c>
      <c r="F20" s="3">
        <f t="shared" si="9"/>
        <v>0.8540988458123705</v>
      </c>
      <c r="G20" s="3">
        <f t="shared" si="9"/>
        <v>0.78801843317972353</v>
      </c>
      <c r="H20" s="3">
        <f t="shared" si="9"/>
        <v>0.75183284457478006</v>
      </c>
      <c r="I20" s="3">
        <f t="shared" si="9"/>
        <v>0.92982456140350878</v>
      </c>
      <c r="J20" s="3">
        <f t="shared" si="9"/>
        <v>0.84974533106960948</v>
      </c>
      <c r="K20" s="3"/>
      <c r="L20" s="3">
        <f t="shared" ref="L20:Y20" si="10">+L19/L18</f>
        <v>0.34331797235023043</v>
      </c>
      <c r="M20" s="3">
        <f t="shared" si="10"/>
        <v>0.8530465949820788</v>
      </c>
      <c r="N20" s="3" t="e">
        <f t="shared" si="10"/>
        <v>#DIV/0!</v>
      </c>
      <c r="O20" s="3">
        <f t="shared" si="10"/>
        <v>0.75</v>
      </c>
      <c r="P20" s="3">
        <f t="shared" si="10"/>
        <v>0.717741935483871</v>
      </c>
      <c r="Q20" s="3" t="e">
        <f t="shared" si="10"/>
        <v>#DIV/0!</v>
      </c>
      <c r="R20" s="3">
        <f t="shared" si="10"/>
        <v>0.68410345829700669</v>
      </c>
      <c r="S20" s="3">
        <f t="shared" si="10"/>
        <v>0.42</v>
      </c>
      <c r="T20" s="3" t="e">
        <f t="shared" si="10"/>
        <v>#DIV/0!</v>
      </c>
      <c r="U20" s="3">
        <f t="shared" si="10"/>
        <v>0.65032258064516124</v>
      </c>
      <c r="V20" s="3">
        <f t="shared" si="10"/>
        <v>0.74075361512791993</v>
      </c>
      <c r="W20" s="3">
        <f t="shared" si="10"/>
        <v>0.72759856630824371</v>
      </c>
      <c r="X20" s="3">
        <f t="shared" si="10"/>
        <v>0.85483870967741937</v>
      </c>
      <c r="Y20" s="3">
        <f t="shared" si="10"/>
        <v>0.15354838709677418</v>
      </c>
      <c r="Z20" s="3"/>
      <c r="AA20" s="3" t="e">
        <f t="shared" ref="AA20:AG20" si="11">+AA19/AA18</f>
        <v>#DIV/0!</v>
      </c>
      <c r="AB20" s="3">
        <f t="shared" si="11"/>
        <v>0.63</v>
      </c>
      <c r="AC20" s="3">
        <f t="shared" si="11"/>
        <v>0.91520000000000001</v>
      </c>
      <c r="AD20" s="3">
        <f t="shared" si="11"/>
        <v>0.66749379652605456</v>
      </c>
      <c r="AE20" s="3">
        <f t="shared" si="11"/>
        <v>0.79339477726574503</v>
      </c>
      <c r="AF20" s="3">
        <f t="shared" si="11"/>
        <v>0.89</v>
      </c>
      <c r="AG20" s="3">
        <f t="shared" si="11"/>
        <v>1</v>
      </c>
      <c r="AH20" s="3">
        <f t="shared" ref="AH20:AP20" si="12">+AH19/AH18</f>
        <v>0.5511827956989247</v>
      </c>
      <c r="AI20" s="3">
        <f t="shared" si="12"/>
        <v>0.72199999999999998</v>
      </c>
      <c r="AJ20" s="6">
        <f t="shared" si="12"/>
        <v>0.72693935096677398</v>
      </c>
      <c r="AK20" s="3">
        <f t="shared" si="12"/>
        <v>0.74635061728395069</v>
      </c>
      <c r="AL20" s="3">
        <f t="shared" si="12"/>
        <v>0.73334562211981569</v>
      </c>
      <c r="AM20" s="3">
        <f t="shared" si="12"/>
        <v>0.58614797747055802</v>
      </c>
      <c r="AN20" s="3">
        <f t="shared" si="12"/>
        <v>0.78632454417952313</v>
      </c>
      <c r="AO20" s="3">
        <f t="shared" si="12"/>
        <v>0.71408702613609609</v>
      </c>
      <c r="AP20" s="3">
        <f t="shared" si="12"/>
        <v>0.78801843317972353</v>
      </c>
    </row>
    <row r="21" spans="1:44" x14ac:dyDescent="0.2">
      <c r="A21" s="20"/>
      <c r="B21" s="20"/>
      <c r="C21" s="20">
        <v>1</v>
      </c>
      <c r="D21" s="20"/>
      <c r="E21" s="20">
        <v>1</v>
      </c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/>
      <c r="L21" s="20">
        <v>1</v>
      </c>
      <c r="M21" s="20">
        <v>1</v>
      </c>
      <c r="N21" s="20"/>
      <c r="O21" s="20">
        <v>1</v>
      </c>
      <c r="P21" s="20">
        <v>1</v>
      </c>
      <c r="Q21" s="20"/>
      <c r="R21" s="20">
        <v>1</v>
      </c>
      <c r="S21" s="20">
        <v>1</v>
      </c>
      <c r="T21" s="20"/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/>
      <c r="AA21" s="20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19">
        <f>SUM(C21:AI21)</f>
        <v>26</v>
      </c>
      <c r="AK21" s="20">
        <f>+AB21+Q21+V21+AC21+AE21+AF21+S21</f>
        <v>6</v>
      </c>
      <c r="AL21" s="20">
        <f>+D21+F21+H21+I21+J21+M21+N21+P21+R21+X21+E21+AH21+W21</f>
        <v>11</v>
      </c>
      <c r="AM21">
        <f>+C21+G21+O21+Y21+AD21+AI21+AG21+K21+L21+U21+T21+Z21+AA21</f>
        <v>9</v>
      </c>
      <c r="AN21" s="20">
        <f>+F21+H21+M21+P21+U21+X21+AI21</f>
        <v>7</v>
      </c>
      <c r="AO21" s="20">
        <f>+B21+C21+D21+I21+J21+K21+L21+N21+O21+Q21+R21+V21+Y21+AB21+AC21+AD21+AE21+AF21+AG21+S21+E21+AH21+W21</f>
        <v>18</v>
      </c>
      <c r="AP21">
        <f>+AA21+Z21+T21+G21</f>
        <v>1</v>
      </c>
    </row>
    <row r="23" spans="1:44" x14ac:dyDescent="0.2">
      <c r="A23" s="2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1"/>
      <c r="AJ23" s="5"/>
    </row>
    <row r="24" spans="1:44" x14ac:dyDescent="0.2">
      <c r="A24" t="s">
        <v>1</v>
      </c>
      <c r="E24">
        <v>1920</v>
      </c>
      <c r="F24">
        <f>3379/31*30</f>
        <v>3270</v>
      </c>
      <c r="G24">
        <v>420</v>
      </c>
      <c r="H24">
        <v>2640</v>
      </c>
      <c r="I24">
        <f>1767/31*30</f>
        <v>1710</v>
      </c>
      <c r="J24">
        <f>1178/31*30</f>
        <v>1140</v>
      </c>
      <c r="L24">
        <v>420</v>
      </c>
      <c r="M24">
        <v>2160</v>
      </c>
      <c r="O24">
        <v>840</v>
      </c>
      <c r="P24">
        <v>2760</v>
      </c>
      <c r="R24">
        <v>3330</v>
      </c>
      <c r="S24">
        <v>6300</v>
      </c>
      <c r="T24">
        <v>1380</v>
      </c>
      <c r="U24">
        <v>750</v>
      </c>
      <c r="V24">
        <v>13920</v>
      </c>
      <c r="W24">
        <v>1620</v>
      </c>
      <c r="X24">
        <v>1200</v>
      </c>
      <c r="Y24">
        <v>750</v>
      </c>
      <c r="AB24">
        <v>5400</v>
      </c>
      <c r="AC24">
        <f>12183/31*30</f>
        <v>11790</v>
      </c>
      <c r="AD24">
        <f>13*30</f>
        <v>390</v>
      </c>
      <c r="AE24">
        <v>4620</v>
      </c>
      <c r="AF24">
        <f>3844/31*30</f>
        <v>3720</v>
      </c>
      <c r="AG24">
        <f>1581/31*30</f>
        <v>1530</v>
      </c>
      <c r="AH24">
        <v>4500</v>
      </c>
      <c r="AI24">
        <f>1054/31*30</f>
        <v>1020</v>
      </c>
      <c r="AJ24" s="5">
        <f>SUM(C24:AI24)</f>
        <v>79500</v>
      </c>
      <c r="AK24">
        <f>+AB24+Q24+V24+AC24+AE24+AF24+S24</f>
        <v>45750</v>
      </c>
      <c r="AL24" s="20">
        <f>+D24+F24+H24+I24+J24+M24+N24+P24+R24+X24+E24+AH24+W24</f>
        <v>26250</v>
      </c>
      <c r="AM24">
        <f>+C24+G24+O24+Y24+AD24+AI24+AG24+K24+L24+U24+T24+Z24+AA24</f>
        <v>7500</v>
      </c>
      <c r="AN24">
        <f>+F24+H24+M24+P24+U24+X24+AI24</f>
        <v>13800</v>
      </c>
      <c r="AO24" s="20">
        <f>+B24+C24+D24+I24+J24+K24+L24+N24+O24+Q24+R24+V24+Y24+AB24+AC24+AD24+AE24+AF24+AG24+S24+E24+AH24+W24</f>
        <v>63900</v>
      </c>
      <c r="AP24">
        <f>+AA24+Z24+T24+G24</f>
        <v>1800</v>
      </c>
    </row>
    <row r="25" spans="1:44" x14ac:dyDescent="0.2">
      <c r="A25" t="s">
        <v>2</v>
      </c>
      <c r="E25">
        <v>889</v>
      </c>
      <c r="F25">
        <v>2214</v>
      </c>
      <c r="G25">
        <v>290</v>
      </c>
      <c r="H25">
        <v>1845</v>
      </c>
      <c r="I25">
        <v>1642</v>
      </c>
      <c r="J25">
        <f>+J24*0.73</f>
        <v>832.19999999999993</v>
      </c>
      <c r="L25">
        <v>241</v>
      </c>
      <c r="M25">
        <v>1460</v>
      </c>
      <c r="O25">
        <v>840</v>
      </c>
      <c r="P25">
        <v>2310</v>
      </c>
      <c r="R25">
        <f>+R24*0.623</f>
        <v>2074.59</v>
      </c>
      <c r="S25">
        <f>+S24*0.43</f>
        <v>2709</v>
      </c>
      <c r="T25">
        <v>973</v>
      </c>
      <c r="U25">
        <v>712</v>
      </c>
      <c r="V25">
        <v>9658</v>
      </c>
      <c r="W25">
        <v>1085</v>
      </c>
      <c r="X25">
        <v>1036</v>
      </c>
      <c r="Y25">
        <v>47</v>
      </c>
      <c r="AB25">
        <f>+AB24*0.66</f>
        <v>3564</v>
      </c>
      <c r="AC25">
        <f>+AC24*0.93</f>
        <v>10964.7</v>
      </c>
      <c r="AD25">
        <v>249</v>
      </c>
      <c r="AE25">
        <v>4406</v>
      </c>
      <c r="AF25">
        <f>+AF24*0.81</f>
        <v>3013.2000000000003</v>
      </c>
      <c r="AG25">
        <v>1451</v>
      </c>
      <c r="AH25">
        <v>2587</v>
      </c>
      <c r="AI25">
        <v>469</v>
      </c>
      <c r="AJ25" s="5">
        <f>SUM(C25:AI25)</f>
        <v>57561.69</v>
      </c>
      <c r="AK25">
        <f>+AB25+Q25+V25+AC25+AE25+AF25+S25</f>
        <v>34314.9</v>
      </c>
      <c r="AL25" s="20">
        <f>+D25+F25+H25+I25+J25+M25+N25+P25+R25+X25+E25+AH25+W25</f>
        <v>17974.79</v>
      </c>
      <c r="AM25">
        <f>+C25+G25+O25+Y25+AD25+AI25+AG25+K25+L25+U25+T25+Z25+AA25</f>
        <v>5272</v>
      </c>
      <c r="AN25">
        <f>+F25+H25+M25+P25+U25+X25+AI25</f>
        <v>10046</v>
      </c>
      <c r="AO25" s="20">
        <f>+B25+C25+D25+I25+J25+K25+L25+N25+O25+Q25+R25+V25+Y25+AB25+AC25+AD25+AE25+AF25+AG25+S25+E25+AH25+W25</f>
        <v>46252.69</v>
      </c>
      <c r="AP25">
        <f>+AA25+Z25+T25+G25</f>
        <v>1263</v>
      </c>
    </row>
    <row r="26" spans="1:44" x14ac:dyDescent="0.2">
      <c r="A26" t="s">
        <v>4</v>
      </c>
      <c r="C26" s="3" t="e">
        <f>+C25/C24</f>
        <v>#DIV/0!</v>
      </c>
      <c r="D26" s="3"/>
      <c r="E26" s="3">
        <f t="shared" ref="E26:J26" si="13">+E25/E24</f>
        <v>0.46302083333333333</v>
      </c>
      <c r="F26" s="3">
        <f t="shared" si="13"/>
        <v>0.67706422018348622</v>
      </c>
      <c r="G26" s="3">
        <f t="shared" si="13"/>
        <v>0.69047619047619047</v>
      </c>
      <c r="H26" s="3">
        <f t="shared" si="13"/>
        <v>0.69886363636363635</v>
      </c>
      <c r="I26" s="3">
        <f t="shared" si="13"/>
        <v>0.960233918128655</v>
      </c>
      <c r="J26" s="3">
        <f t="shared" si="13"/>
        <v>0.73</v>
      </c>
      <c r="K26" s="3"/>
      <c r="L26" s="3">
        <f t="shared" ref="L26:Y26" si="14">+L25/L24</f>
        <v>0.57380952380952377</v>
      </c>
      <c r="M26" s="3">
        <f t="shared" si="14"/>
        <v>0.67592592592592593</v>
      </c>
      <c r="N26" s="3" t="e">
        <f t="shared" si="14"/>
        <v>#DIV/0!</v>
      </c>
      <c r="O26" s="3">
        <f t="shared" si="14"/>
        <v>1</v>
      </c>
      <c r="P26" s="3">
        <f t="shared" si="14"/>
        <v>0.83695652173913049</v>
      </c>
      <c r="Q26" s="3" t="e">
        <f t="shared" si="14"/>
        <v>#DIV/0!</v>
      </c>
      <c r="R26" s="3">
        <f t="shared" si="14"/>
        <v>0.623</v>
      </c>
      <c r="S26" s="3">
        <f t="shared" si="14"/>
        <v>0.43</v>
      </c>
      <c r="T26" s="3">
        <f t="shared" si="14"/>
        <v>0.70507246376811594</v>
      </c>
      <c r="U26" s="3">
        <f t="shared" si="14"/>
        <v>0.94933333333333336</v>
      </c>
      <c r="V26" s="3">
        <f t="shared" si="14"/>
        <v>0.6938218390804598</v>
      </c>
      <c r="W26" s="3">
        <f t="shared" si="14"/>
        <v>0.66975308641975306</v>
      </c>
      <c r="X26" s="3">
        <f t="shared" si="14"/>
        <v>0.86333333333333329</v>
      </c>
      <c r="Y26" s="3">
        <f t="shared" si="14"/>
        <v>6.2666666666666662E-2</v>
      </c>
      <c r="Z26" s="3"/>
      <c r="AA26" s="3" t="e">
        <f t="shared" ref="AA26:AH26" si="15">+AA25/AA24</f>
        <v>#DIV/0!</v>
      </c>
      <c r="AB26" s="3">
        <f t="shared" si="15"/>
        <v>0.66</v>
      </c>
      <c r="AC26" s="3">
        <f t="shared" si="15"/>
        <v>0.93</v>
      </c>
      <c r="AD26" s="3">
        <f t="shared" si="15"/>
        <v>0.63846153846153841</v>
      </c>
      <c r="AE26" s="3">
        <f t="shared" si="15"/>
        <v>0.95367965367965368</v>
      </c>
      <c r="AF26" s="3">
        <f t="shared" si="15"/>
        <v>0.81</v>
      </c>
      <c r="AG26" s="3">
        <f t="shared" si="15"/>
        <v>0.94836601307189539</v>
      </c>
      <c r="AH26" s="3">
        <f t="shared" si="15"/>
        <v>0.57488888888888889</v>
      </c>
      <c r="AI26" s="3">
        <f t="shared" ref="AI26:AP26" si="16">+AI25/AI24</f>
        <v>0.45980392156862743</v>
      </c>
      <c r="AJ26" s="6">
        <f t="shared" si="16"/>
        <v>0.72404641509433965</v>
      </c>
      <c r="AK26" s="3">
        <f t="shared" si="16"/>
        <v>0.7500524590163935</v>
      </c>
      <c r="AL26" s="3">
        <f t="shared" si="16"/>
        <v>0.68475390476190479</v>
      </c>
      <c r="AM26" s="3">
        <f t="shared" si="16"/>
        <v>0.7029333333333333</v>
      </c>
      <c r="AN26" s="3">
        <f t="shared" si="16"/>
        <v>0.72797101449275359</v>
      </c>
      <c r="AO26" s="3">
        <f t="shared" si="16"/>
        <v>0.72382926447574336</v>
      </c>
      <c r="AP26" s="3">
        <f t="shared" si="16"/>
        <v>0.70166666666666666</v>
      </c>
    </row>
    <row r="27" spans="1:44" x14ac:dyDescent="0.2">
      <c r="A27" s="20"/>
      <c r="B27" s="20"/>
      <c r="C27" s="20"/>
      <c r="D27" s="20"/>
      <c r="E27" s="20">
        <v>1</v>
      </c>
      <c r="F27" s="20">
        <v>1</v>
      </c>
      <c r="G27" s="20">
        <v>1</v>
      </c>
      <c r="H27" s="20">
        <v>1</v>
      </c>
      <c r="I27" s="20">
        <v>1</v>
      </c>
      <c r="J27" s="20">
        <v>1</v>
      </c>
      <c r="K27" s="20"/>
      <c r="L27" s="20">
        <v>1</v>
      </c>
      <c r="M27" s="20">
        <v>1</v>
      </c>
      <c r="N27" s="20"/>
      <c r="O27" s="20">
        <v>1</v>
      </c>
      <c r="P27" s="20">
        <v>1</v>
      </c>
      <c r="Q27" s="20"/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/>
      <c r="AA27" s="20"/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19">
        <f>SUM(C27:AI27)</f>
        <v>26</v>
      </c>
      <c r="AK27" s="20">
        <f>+AB27+Q27+V27+AC27+AE27+AF27+S27</f>
        <v>6</v>
      </c>
      <c r="AL27" s="20">
        <f>+D27+F27+H27+I27+J27+M27+N27+P27+R27+X27+E27+AH27+W27</f>
        <v>11</v>
      </c>
      <c r="AM27">
        <f>+C27+G27+O27+Y27+AD27+AI27+AG27+K27+L27+U27+T27+Z27+AA27</f>
        <v>9</v>
      </c>
      <c r="AN27" s="20">
        <f>+F27+H27+M27+P27+U27+X27+AI27</f>
        <v>7</v>
      </c>
      <c r="AO27" s="20">
        <f>+B27+C27+D27+I27+J27+K27+L27+N27+O27+Q27+R27+V27+Y27+AB27+AC27+AD27+AE27+AF27+AG27+S27+E27+AH27+W27</f>
        <v>17</v>
      </c>
      <c r="AP27">
        <f>+AA27+Z27+T27+G27</f>
        <v>2</v>
      </c>
    </row>
    <row r="29" spans="1:44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1"/>
      <c r="AJ29" s="5"/>
    </row>
    <row r="30" spans="1:44" x14ac:dyDescent="0.2">
      <c r="A30" t="s">
        <v>1</v>
      </c>
      <c r="C30">
        <v>1643</v>
      </c>
      <c r="E30">
        <v>1984</v>
      </c>
      <c r="F30">
        <v>3379</v>
      </c>
      <c r="G30">
        <v>434</v>
      </c>
      <c r="H30">
        <v>2728</v>
      </c>
      <c r="I30">
        <v>1767</v>
      </c>
      <c r="J30">
        <v>1178</v>
      </c>
      <c r="L30">
        <v>434</v>
      </c>
      <c r="M30">
        <v>2232</v>
      </c>
      <c r="O30">
        <v>837</v>
      </c>
      <c r="P30">
        <v>2976</v>
      </c>
      <c r="R30">
        <v>3441</v>
      </c>
      <c r="S30">
        <v>6510</v>
      </c>
      <c r="T30">
        <v>1426</v>
      </c>
      <c r="U30">
        <v>775</v>
      </c>
      <c r="V30">
        <v>14384</v>
      </c>
      <c r="W30">
        <v>1674</v>
      </c>
      <c r="X30">
        <v>1240</v>
      </c>
      <c r="Y30" s="20">
        <v>0</v>
      </c>
      <c r="AB30">
        <v>5580</v>
      </c>
      <c r="AC30">
        <v>12183</v>
      </c>
      <c r="AD30">
        <v>403</v>
      </c>
      <c r="AE30">
        <v>4774</v>
      </c>
      <c r="AF30">
        <v>0</v>
      </c>
      <c r="AG30">
        <v>1540</v>
      </c>
      <c r="AH30">
        <v>4402</v>
      </c>
      <c r="AI30">
        <v>0</v>
      </c>
      <c r="AJ30" s="5">
        <f>SUM(C30:AI30)</f>
        <v>77924</v>
      </c>
      <c r="AK30">
        <f>+AB30+Q30+V30+AC30+AE30+AF30+S30</f>
        <v>43431</v>
      </c>
      <c r="AL30" s="20">
        <f>+D30+F30+H30+I30+J30+M30+N30+P30+R30+X30+E30+AH30+W30</f>
        <v>27001</v>
      </c>
      <c r="AM30">
        <f>+C30+G30+O30+Y30+AD30+AI30+AG30+K30+L30+U30+T30+Z30+AA30</f>
        <v>7492</v>
      </c>
      <c r="AN30">
        <f>+F30+H30+M30+P30+U30+X30+AI30</f>
        <v>13330</v>
      </c>
      <c r="AO30" s="20">
        <f>+B30+C30+D30+I30+J30+K30+L30+N30+O30+Q30+R30+V30+Y30+AB30+AC30+AD30+AE30+AF30+AG30+S30+E30+AH30+W30</f>
        <v>62734</v>
      </c>
      <c r="AP30">
        <f>+AA30+Z30+T30+G30</f>
        <v>1860</v>
      </c>
      <c r="AQ30">
        <f>+AK30+AL30+AM30</f>
        <v>77924</v>
      </c>
      <c r="AR30">
        <f>+AN30+AO30+AP30</f>
        <v>77924</v>
      </c>
    </row>
    <row r="31" spans="1:44" x14ac:dyDescent="0.2">
      <c r="A31" t="s">
        <v>2</v>
      </c>
      <c r="C31">
        <v>543</v>
      </c>
      <c r="E31">
        <v>635</v>
      </c>
      <c r="F31">
        <v>2329</v>
      </c>
      <c r="G31">
        <v>127</v>
      </c>
      <c r="H31">
        <v>1419</v>
      </c>
      <c r="I31">
        <f>+I30*0.9</f>
        <v>1590.3</v>
      </c>
      <c r="J31">
        <f>+J30*0.94</f>
        <v>1107.32</v>
      </c>
      <c r="L31">
        <v>84</v>
      </c>
      <c r="M31">
        <v>1123</v>
      </c>
      <c r="O31">
        <v>589</v>
      </c>
      <c r="P31">
        <v>2695</v>
      </c>
      <c r="R31">
        <f>+R30*0.454</f>
        <v>1562.2139999999999</v>
      </c>
      <c r="S31">
        <f>+S30*0.43</f>
        <v>2799.3</v>
      </c>
      <c r="T31">
        <f>+T30*0.65</f>
        <v>926.9</v>
      </c>
      <c r="U31">
        <f>+U30*0.95</f>
        <v>736.25</v>
      </c>
      <c r="V31">
        <v>7819</v>
      </c>
      <c r="W31">
        <v>892</v>
      </c>
      <c r="X31">
        <v>709</v>
      </c>
      <c r="Y31" s="20">
        <v>0</v>
      </c>
      <c r="AB31">
        <f>+AB30*0.4823</f>
        <v>2691.2339999999999</v>
      </c>
      <c r="AC31">
        <f>+AC30*0.9484</f>
        <v>11554.3572</v>
      </c>
      <c r="AD31">
        <v>256</v>
      </c>
      <c r="AE31">
        <v>3734</v>
      </c>
      <c r="AF31">
        <v>0</v>
      </c>
      <c r="AG31">
        <v>1483</v>
      </c>
      <c r="AH31">
        <v>2213</v>
      </c>
      <c r="AI31">
        <v>0</v>
      </c>
      <c r="AJ31" s="5">
        <f>SUM(C31:AI31)</f>
        <v>49617.875200000002</v>
      </c>
      <c r="AK31">
        <f>+AB31+Q31+V31+AC31+AE31+AF31+S31</f>
        <v>28597.891200000002</v>
      </c>
      <c r="AL31" s="20">
        <f>+D31+F31+H31+I31+J31+M31+N31+P31+R31+X31+E31+AH31+W31</f>
        <v>16274.833999999999</v>
      </c>
      <c r="AM31">
        <f>+C31+G31+O31+Y31+AD31+AI31+AG31+K31+L31+U31+T31+Z31+AA31</f>
        <v>4745.1499999999996</v>
      </c>
      <c r="AN31">
        <f>+F31+H31+M31+P31+U31+X31+AI31</f>
        <v>9011.25</v>
      </c>
      <c r="AO31" s="20">
        <f>+B31+C31+D31+I31+J31+K31+L31+N31+O31+Q31+R31+V31+Y31+AB31+AC31+AD31+AE31+AF31+AG31+S31+E31+AH31+W31</f>
        <v>39552.725200000001</v>
      </c>
      <c r="AP31">
        <f>+AA31+Z31+T31+G31</f>
        <v>1053.9000000000001</v>
      </c>
      <c r="AQ31">
        <f>+AK31+AL31+AM31</f>
        <v>49617.875200000002</v>
      </c>
      <c r="AR31">
        <f>+AN31+AO31+AP31</f>
        <v>49617.875200000002</v>
      </c>
    </row>
    <row r="32" spans="1:44" x14ac:dyDescent="0.2">
      <c r="A32" t="s">
        <v>4</v>
      </c>
      <c r="C32" s="3">
        <f>+C31/C30</f>
        <v>0.33049300060864273</v>
      </c>
      <c r="D32" s="3"/>
      <c r="E32" s="3">
        <f t="shared" ref="E32:J32" si="17">+E31/E30</f>
        <v>0.32006048387096775</v>
      </c>
      <c r="F32" s="3">
        <f t="shared" si="17"/>
        <v>0.68925717667949093</v>
      </c>
      <c r="G32" s="3">
        <f t="shared" si="17"/>
        <v>0.29262672811059909</v>
      </c>
      <c r="H32" s="3">
        <f t="shared" si="17"/>
        <v>0.52016129032258063</v>
      </c>
      <c r="I32" s="3">
        <f t="shared" si="17"/>
        <v>0.9</v>
      </c>
      <c r="J32" s="3">
        <f t="shared" si="17"/>
        <v>0.94</v>
      </c>
      <c r="K32" s="3"/>
      <c r="L32" s="3">
        <f t="shared" ref="L32:X32" si="18">+L31/L30</f>
        <v>0.19354838709677419</v>
      </c>
      <c r="M32" s="3">
        <f t="shared" si="18"/>
        <v>0.50313620071684584</v>
      </c>
      <c r="N32" s="3" t="e">
        <f t="shared" si="18"/>
        <v>#DIV/0!</v>
      </c>
      <c r="O32" s="3">
        <f t="shared" si="18"/>
        <v>0.70370370370370372</v>
      </c>
      <c r="P32" s="3">
        <f t="shared" si="18"/>
        <v>0.90557795698924726</v>
      </c>
      <c r="Q32" s="3" t="e">
        <f t="shared" si="18"/>
        <v>#DIV/0!</v>
      </c>
      <c r="R32" s="3">
        <f t="shared" si="18"/>
        <v>0.45399999999999996</v>
      </c>
      <c r="S32" s="3">
        <f t="shared" si="18"/>
        <v>0.43000000000000005</v>
      </c>
      <c r="T32" s="3">
        <f t="shared" si="18"/>
        <v>0.65</v>
      </c>
      <c r="U32" s="3">
        <f t="shared" si="18"/>
        <v>0.95</v>
      </c>
      <c r="V32" s="3">
        <f t="shared" si="18"/>
        <v>0.54359010011123465</v>
      </c>
      <c r="W32" s="3">
        <f t="shared" si="18"/>
        <v>0.53285543608124253</v>
      </c>
      <c r="X32" s="3">
        <f t="shared" si="18"/>
        <v>0.5717741935483871</v>
      </c>
      <c r="Y32" s="24">
        <v>0</v>
      </c>
      <c r="Z32" s="3"/>
      <c r="AA32" s="3" t="e">
        <f t="shared" ref="AA32:AH32" si="19">+AA31/AA30</f>
        <v>#DIV/0!</v>
      </c>
      <c r="AB32" s="3">
        <f t="shared" si="19"/>
        <v>0.48230000000000001</v>
      </c>
      <c r="AC32" s="3">
        <f t="shared" si="19"/>
        <v>0.94840000000000002</v>
      </c>
      <c r="AD32" s="3">
        <f t="shared" si="19"/>
        <v>0.63523573200992556</v>
      </c>
      <c r="AE32" s="3">
        <f t="shared" si="19"/>
        <v>0.78215333054042735</v>
      </c>
      <c r="AF32" s="3">
        <v>0</v>
      </c>
      <c r="AG32" s="3">
        <f t="shared" si="19"/>
        <v>0.96298701298701295</v>
      </c>
      <c r="AH32" s="3">
        <f t="shared" si="19"/>
        <v>0.50272603362108137</v>
      </c>
      <c r="AI32" s="3" t="e">
        <f t="shared" ref="AI32:AP32" si="20">+AI31/AI30</f>
        <v>#DIV/0!</v>
      </c>
      <c r="AJ32" s="6">
        <f t="shared" si="20"/>
        <v>0.63674702530670912</v>
      </c>
      <c r="AK32" s="3">
        <f t="shared" si="20"/>
        <v>0.65846725150238317</v>
      </c>
      <c r="AL32" s="3">
        <f t="shared" si="20"/>
        <v>0.60274930558127471</v>
      </c>
      <c r="AM32" s="3">
        <f t="shared" si="20"/>
        <v>0.63336225306994121</v>
      </c>
      <c r="AN32" s="3">
        <f t="shared" si="20"/>
        <v>0.67601275318829712</v>
      </c>
      <c r="AO32" s="3">
        <f t="shared" si="20"/>
        <v>0.63048307456881436</v>
      </c>
      <c r="AP32" s="3">
        <f t="shared" si="20"/>
        <v>0.56661290322580649</v>
      </c>
    </row>
    <row r="33" spans="1:43" x14ac:dyDescent="0.2">
      <c r="A33" s="20"/>
      <c r="B33" s="20"/>
      <c r="C33" s="20">
        <v>1</v>
      </c>
      <c r="D33" s="20"/>
      <c r="E33" s="20">
        <v>1</v>
      </c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/>
      <c r="L33" s="20">
        <v>1</v>
      </c>
      <c r="M33" s="20">
        <v>1</v>
      </c>
      <c r="N33" s="20"/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/>
      <c r="Z33" s="20"/>
      <c r="AA33" s="20"/>
      <c r="AB33" s="20">
        <v>1</v>
      </c>
      <c r="AC33" s="20">
        <v>1</v>
      </c>
      <c r="AD33" s="20">
        <v>1</v>
      </c>
      <c r="AE33" s="20">
        <v>1</v>
      </c>
      <c r="AF33" s="20"/>
      <c r="AG33" s="20">
        <v>1</v>
      </c>
      <c r="AH33" s="20">
        <v>1</v>
      </c>
      <c r="AI33" s="20"/>
      <c r="AJ33" s="19">
        <f>SUM(C33:AI33)</f>
        <v>24</v>
      </c>
      <c r="AK33" s="20">
        <f>+AB33+Q33+V33+AC33+AE33+AF33+S33</f>
        <v>5</v>
      </c>
      <c r="AL33" s="20">
        <f>+D33+F33+H33+I33+J33+M33+N33+P33+R33+X33+E33+AH33+W33</f>
        <v>11</v>
      </c>
      <c r="AM33">
        <f>+C33+G33+O33+Y33+AD33+AI33+AG33+K33+L33+U33+T33+Z33+AA33</f>
        <v>8</v>
      </c>
      <c r="AN33" s="20">
        <f>+F33+H33+M33+P33+U33+X33+AI33</f>
        <v>6</v>
      </c>
      <c r="AO33" s="20">
        <f>+B33+C33+D33+I33+J33+K33+L33+N33+O33+Q33+R33+V33+Y33+AB33+AC33+AD33+AE33+AF33+AG33+S33+E33+AH33+W33</f>
        <v>16</v>
      </c>
      <c r="AP33">
        <f>+AA33+Z33+T33+G33</f>
        <v>2</v>
      </c>
    </row>
    <row r="34" spans="1:43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19"/>
      <c r="AK34" s="20"/>
      <c r="AL34" s="20"/>
      <c r="AM34" s="20"/>
      <c r="AN34" s="20"/>
      <c r="AO34" s="20"/>
      <c r="AP34" s="20"/>
    </row>
    <row r="35" spans="1:43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A35" s="1"/>
      <c r="AB35" s="1"/>
      <c r="AC35" s="1"/>
      <c r="AD35" s="1"/>
      <c r="AE35" s="1"/>
      <c r="AF35" s="1"/>
      <c r="AG35" t="s">
        <v>15</v>
      </c>
      <c r="AJ35" s="5"/>
    </row>
    <row r="36" spans="1:43" x14ac:dyDescent="0.2">
      <c r="A36" t="s">
        <v>1</v>
      </c>
      <c r="C36">
        <v>1590</v>
      </c>
      <c r="E36">
        <v>1920</v>
      </c>
      <c r="F36">
        <v>3270</v>
      </c>
      <c r="G36">
        <v>420</v>
      </c>
      <c r="H36">
        <v>2640</v>
      </c>
      <c r="I36">
        <v>1710</v>
      </c>
      <c r="J36">
        <v>1140</v>
      </c>
      <c r="L36">
        <v>420</v>
      </c>
      <c r="M36">
        <v>2160</v>
      </c>
      <c r="P36">
        <v>2880</v>
      </c>
      <c r="R36">
        <v>3330</v>
      </c>
      <c r="S36">
        <v>6300</v>
      </c>
      <c r="T36">
        <v>1380</v>
      </c>
      <c r="U36">
        <v>750</v>
      </c>
      <c r="V36">
        <v>13920</v>
      </c>
      <c r="W36">
        <v>1620</v>
      </c>
      <c r="X36">
        <v>0</v>
      </c>
      <c r="Y36">
        <v>0</v>
      </c>
      <c r="AB36">
        <v>5400</v>
      </c>
      <c r="AC36">
        <v>11790</v>
      </c>
      <c r="AD36">
        <v>390</v>
      </c>
      <c r="AE36">
        <v>4620</v>
      </c>
      <c r="AF36">
        <v>0</v>
      </c>
      <c r="AG36">
        <v>1530</v>
      </c>
      <c r="AH36">
        <v>4860</v>
      </c>
      <c r="AI36">
        <v>0</v>
      </c>
      <c r="AJ36" s="5">
        <f>SUM(C36:AI36)</f>
        <v>74040</v>
      </c>
      <c r="AK36">
        <f>+AB36+Q36+V36+AC36+AE36+AF36+S36</f>
        <v>42030</v>
      </c>
      <c r="AL36" s="20">
        <f>+D36+F36+H36+I36+J36+M36+N36+P36+R36+X36+E36+AH36+W36</f>
        <v>25530</v>
      </c>
      <c r="AM36">
        <f>+C36+G36+O36+Y36+AD36+AI36+AG36+K36+L36+U36+T36+Z36+AA36</f>
        <v>6480</v>
      </c>
      <c r="AN36">
        <f>+F36+H36+M36+P36+U36+X36+AI36</f>
        <v>11700</v>
      </c>
      <c r="AO36" s="20">
        <f>+B36+C36+D36+I36+J36+K36+L36+N36+O36+Q36+R36+V36+Y36+AB36+AC36+AD36+AE36+AF36+AG36+S36+E36+AH36+W36</f>
        <v>60540</v>
      </c>
      <c r="AP36">
        <f>+AA36+Z36+T36+G36</f>
        <v>1800</v>
      </c>
      <c r="AQ36">
        <f>+AK36+AL36+AM36</f>
        <v>74040</v>
      </c>
    </row>
    <row r="37" spans="1:43" x14ac:dyDescent="0.2">
      <c r="A37" t="s">
        <v>2</v>
      </c>
      <c r="C37">
        <v>523</v>
      </c>
      <c r="E37">
        <v>735</v>
      </c>
      <c r="F37">
        <v>2407</v>
      </c>
      <c r="G37">
        <v>222</v>
      </c>
      <c r="H37">
        <v>1261</v>
      </c>
      <c r="I37">
        <f>+I36*0.86</f>
        <v>1470.6</v>
      </c>
      <c r="J37">
        <f>+J36*0.83</f>
        <v>946.19999999999993</v>
      </c>
      <c r="L37">
        <v>59</v>
      </c>
      <c r="M37">
        <v>912</v>
      </c>
      <c r="P37">
        <v>2129</v>
      </c>
      <c r="R37">
        <v>756</v>
      </c>
      <c r="S37">
        <f>+S36*0.396</f>
        <v>2494.8000000000002</v>
      </c>
      <c r="T37">
        <f>+T36*0.679</f>
        <v>937.0200000000001</v>
      </c>
      <c r="U37">
        <v>712</v>
      </c>
      <c r="V37">
        <v>5906</v>
      </c>
      <c r="W37">
        <v>889</v>
      </c>
      <c r="X37">
        <v>0</v>
      </c>
      <c r="Y37">
        <v>0</v>
      </c>
      <c r="AB37">
        <f>+AB36*0.408</f>
        <v>2203.1999999999998</v>
      </c>
      <c r="AC37">
        <v>10358</v>
      </c>
      <c r="AD37">
        <v>246</v>
      </c>
      <c r="AE37">
        <v>2935</v>
      </c>
      <c r="AF37">
        <v>0</v>
      </c>
      <c r="AG37">
        <v>1385</v>
      </c>
      <c r="AH37">
        <v>2919</v>
      </c>
      <c r="AI37">
        <v>0</v>
      </c>
      <c r="AJ37" s="5">
        <f>SUM(C37:AI37)</f>
        <v>42405.82</v>
      </c>
      <c r="AK37">
        <f>+AB37+Q37+V37+AC37+AE37+AF37+S37</f>
        <v>23897</v>
      </c>
      <c r="AL37" s="20">
        <f>+D37+F37+H37+I37+J37+M37+N37+P37+R37+X37+E37+AH37+W37</f>
        <v>14424.8</v>
      </c>
      <c r="AM37">
        <f>+C37+G37+O37+Y37+AD37+AI37+AG37+K37+L37+U37+T37+Z37+AA37</f>
        <v>4084.02</v>
      </c>
      <c r="AN37">
        <f>+F37+H37+M37+P37+U37+X37+AI37</f>
        <v>7421</v>
      </c>
      <c r="AO37" s="20">
        <f>+B37+C37+D37+I37+J37+K37+L37+N37+O37+Q37+R37+V37+Y37+AB37+AC37+AD37+AE37+AF37+AG37+S37+E37+AH37+W37</f>
        <v>33825.800000000003</v>
      </c>
      <c r="AP37">
        <f>+AA37+Z37+T37+G37</f>
        <v>1159.02</v>
      </c>
      <c r="AQ37">
        <f>+AK37+AL37+AM37</f>
        <v>42405.82</v>
      </c>
    </row>
    <row r="38" spans="1:43" x14ac:dyDescent="0.2">
      <c r="A38" t="s">
        <v>4</v>
      </c>
      <c r="C38" s="3">
        <f>+C37/C36</f>
        <v>0.32893081761006288</v>
      </c>
      <c r="D38" s="3"/>
      <c r="E38" s="3">
        <f t="shared" ref="E38:J38" si="21">+E37/E36</f>
        <v>0.3828125</v>
      </c>
      <c r="F38" s="3">
        <f t="shared" si="21"/>
        <v>0.73608562691131496</v>
      </c>
      <c r="G38" s="3">
        <f t="shared" si="21"/>
        <v>0.52857142857142858</v>
      </c>
      <c r="H38" s="3">
        <f t="shared" si="21"/>
        <v>0.47765151515151516</v>
      </c>
      <c r="I38" s="3">
        <f t="shared" si="21"/>
        <v>0.86</v>
      </c>
      <c r="J38" s="3">
        <f t="shared" si="21"/>
        <v>0.83</v>
      </c>
      <c r="K38" s="3"/>
      <c r="L38" s="3">
        <f>+L37/L36</f>
        <v>0.14047619047619048</v>
      </c>
      <c r="M38" s="3">
        <f>+M37/M36</f>
        <v>0.42222222222222222</v>
      </c>
      <c r="N38" s="3"/>
      <c r="O38" s="3" t="s">
        <v>15</v>
      </c>
      <c r="P38" s="3">
        <f t="shared" ref="P38:X38" si="22">+P37/P36</f>
        <v>0.73923611111111109</v>
      </c>
      <c r="Q38" s="3" t="e">
        <f t="shared" si="22"/>
        <v>#DIV/0!</v>
      </c>
      <c r="R38" s="3">
        <f t="shared" si="22"/>
        <v>0.22702702702702704</v>
      </c>
      <c r="S38" s="3">
        <f t="shared" si="22"/>
        <v>0.39600000000000002</v>
      </c>
      <c r="T38" s="3">
        <f t="shared" si="22"/>
        <v>0.67900000000000005</v>
      </c>
      <c r="U38" s="3">
        <f t="shared" si="22"/>
        <v>0.94933333333333336</v>
      </c>
      <c r="V38" s="3">
        <f t="shared" si="22"/>
        <v>0.42428160919540231</v>
      </c>
      <c r="W38" s="3">
        <f t="shared" si="22"/>
        <v>0.54876543209876538</v>
      </c>
      <c r="X38" s="3" t="e">
        <f t="shared" si="22"/>
        <v>#DIV/0!</v>
      </c>
      <c r="Y38" s="3" t="s">
        <v>15</v>
      </c>
      <c r="Z38" s="3"/>
      <c r="AA38" s="3" t="s">
        <v>15</v>
      </c>
      <c r="AB38" s="3">
        <f t="shared" ref="AB38:AH38" si="23">+AB37/AB36</f>
        <v>0.40799999999999997</v>
      </c>
      <c r="AC38" s="3">
        <f t="shared" si="23"/>
        <v>0.87854113655640376</v>
      </c>
      <c r="AD38" s="3">
        <f t="shared" si="23"/>
        <v>0.63076923076923075</v>
      </c>
      <c r="AE38" s="3">
        <f t="shared" si="23"/>
        <v>0.63528138528138534</v>
      </c>
      <c r="AF38" s="3" t="e">
        <f t="shared" si="23"/>
        <v>#DIV/0!</v>
      </c>
      <c r="AG38" s="3">
        <f t="shared" si="23"/>
        <v>0.90522875816993464</v>
      </c>
      <c r="AH38" s="3">
        <f t="shared" si="23"/>
        <v>0.60061728395061731</v>
      </c>
      <c r="AI38" s="3" t="e">
        <f t="shared" ref="AI38:AP38" si="24">+AI37/AI36</f>
        <v>#DIV/0!</v>
      </c>
      <c r="AJ38" s="6">
        <f t="shared" si="24"/>
        <v>0.57274203133441381</v>
      </c>
      <c r="AK38" s="3">
        <f t="shared" si="24"/>
        <v>0.56857006899833451</v>
      </c>
      <c r="AL38" s="3">
        <f t="shared" si="24"/>
        <v>0.56501370936153539</v>
      </c>
      <c r="AM38" s="3">
        <f t="shared" si="24"/>
        <v>0.63024999999999998</v>
      </c>
      <c r="AN38" s="3">
        <f t="shared" si="24"/>
        <v>0.63427350427350426</v>
      </c>
      <c r="AO38" s="3">
        <f t="shared" si="24"/>
        <v>0.55873472084572184</v>
      </c>
      <c r="AP38" s="3">
        <f t="shared" si="24"/>
        <v>0.64390000000000003</v>
      </c>
    </row>
    <row r="39" spans="1:43" x14ac:dyDescent="0.2">
      <c r="A39" s="20"/>
      <c r="B39" s="20"/>
      <c r="C39" s="20">
        <v>1</v>
      </c>
      <c r="D39" s="20"/>
      <c r="E39" s="20">
        <v>1</v>
      </c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/>
      <c r="L39" s="20">
        <v>1</v>
      </c>
      <c r="M39" s="20">
        <v>1</v>
      </c>
      <c r="N39" s="20"/>
      <c r="O39" s="20"/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/>
      <c r="Y39" s="20"/>
      <c r="Z39" s="20"/>
      <c r="AA39" s="20"/>
      <c r="AB39" s="20">
        <v>1</v>
      </c>
      <c r="AC39" s="20">
        <v>1</v>
      </c>
      <c r="AD39" s="20">
        <v>1</v>
      </c>
      <c r="AE39" s="20">
        <v>1</v>
      </c>
      <c r="AF39" s="20"/>
      <c r="AG39" s="20">
        <v>1</v>
      </c>
      <c r="AH39" s="20">
        <v>1</v>
      </c>
      <c r="AI39" s="20"/>
      <c r="AJ39" s="19">
        <f>SUM(C39:AI39)</f>
        <v>22</v>
      </c>
      <c r="AK39" s="20">
        <f>+AB39+Q39+V39+AC39+AE39+AF39+S39</f>
        <v>5</v>
      </c>
      <c r="AL39" s="20">
        <f>+D39+F39+H39+I39+J39+M39+N39+P39+R39+X39+E39+AH39+W39</f>
        <v>10</v>
      </c>
      <c r="AM39">
        <f>+C39+G39+O39+Y39+AD39+AI39+AG39+K39+L39+U39+T39+Z39+AA39</f>
        <v>7</v>
      </c>
      <c r="AN39" s="20">
        <f>+F39+H39+M39+P39+U39+X39+AI39</f>
        <v>5</v>
      </c>
      <c r="AO39" s="20">
        <f>+B39+C39+D39+I39+J39+K39+L39+N39+O39+Q39+R39+V39+Y39+AB39+AC39+AD39+AE39+AF39+AG39+S39+E39+AH39+W39</f>
        <v>15</v>
      </c>
      <c r="AP39">
        <f>+AA39+Z39+T39+G39</f>
        <v>2</v>
      </c>
    </row>
    <row r="40" spans="1:43" x14ac:dyDescent="0.2">
      <c r="H40" s="5"/>
    </row>
    <row r="41" spans="1:43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J41" s="5"/>
    </row>
    <row r="42" spans="1:43" x14ac:dyDescent="0.2">
      <c r="A42" t="s">
        <v>1</v>
      </c>
      <c r="C42">
        <v>1643</v>
      </c>
      <c r="F42">
        <v>3379</v>
      </c>
      <c r="G42">
        <v>434</v>
      </c>
      <c r="H42">
        <v>2728</v>
      </c>
      <c r="I42">
        <v>1767</v>
      </c>
      <c r="J42">
        <v>1178</v>
      </c>
      <c r="L42">
        <v>434</v>
      </c>
      <c r="M42">
        <v>2232</v>
      </c>
      <c r="P42">
        <v>2976</v>
      </c>
      <c r="R42">
        <v>3441</v>
      </c>
      <c r="S42">
        <v>6510</v>
      </c>
      <c r="T42">
        <v>1426</v>
      </c>
      <c r="U42">
        <v>775</v>
      </c>
      <c r="V42">
        <v>14384</v>
      </c>
      <c r="W42">
        <v>1674</v>
      </c>
      <c r="AB42">
        <v>5580</v>
      </c>
      <c r="AC42">
        <v>12183</v>
      </c>
      <c r="AD42">
        <v>403</v>
      </c>
      <c r="AE42">
        <v>4774</v>
      </c>
      <c r="AG42">
        <v>1510</v>
      </c>
      <c r="AH42">
        <v>5022</v>
      </c>
      <c r="AJ42" s="5">
        <f>SUM(C42:AI42)</f>
        <v>74453</v>
      </c>
      <c r="AK42">
        <f>+AB42+Q42+V42+AC42+AE42+AF42+S42</f>
        <v>43431</v>
      </c>
      <c r="AL42" s="20">
        <f>+D42+F42+H42+I42+J42+M42+N42+P42+R42+X42+E42+AH42+W42</f>
        <v>24397</v>
      </c>
      <c r="AM42">
        <f>+C42+G42+O42+Y42+AD42+AI42+AG42+K42+L42+U42+T42+Z42+AA42</f>
        <v>6625</v>
      </c>
      <c r="AN42">
        <f>+F42+H42+M42+P42+U42+X42+AI42</f>
        <v>12090</v>
      </c>
      <c r="AO42" s="20">
        <f>+B42+C42+D42+I42+J42+K42+L42+N42+O42+Q42+R42+V42+Y42+AB42+AC42+AD42+AE42+AF42+AG42+S42+E42+AH42+W42</f>
        <v>60503</v>
      </c>
      <c r="AP42">
        <f>+AA42+Z42+T42+G42</f>
        <v>1860</v>
      </c>
      <c r="AQ42">
        <f>+AK42+AL42+AM42</f>
        <v>74453</v>
      </c>
    </row>
    <row r="43" spans="1:43" x14ac:dyDescent="0.2">
      <c r="A43" t="s">
        <v>2</v>
      </c>
      <c r="C43">
        <v>523</v>
      </c>
      <c r="F43">
        <v>1980</v>
      </c>
      <c r="G43">
        <v>329</v>
      </c>
      <c r="H43">
        <v>1699</v>
      </c>
      <c r="I43">
        <v>1537</v>
      </c>
      <c r="J43">
        <v>954</v>
      </c>
      <c r="L43">
        <v>54</v>
      </c>
      <c r="M43">
        <v>995</v>
      </c>
      <c r="P43">
        <v>1547</v>
      </c>
      <c r="R43">
        <f>+R42*0.295</f>
        <v>1015.0949999999999</v>
      </c>
      <c r="S43">
        <f>+S42*0.31</f>
        <v>2018.1</v>
      </c>
      <c r="T43">
        <v>994</v>
      </c>
      <c r="U43">
        <v>698</v>
      </c>
      <c r="V43">
        <v>6912</v>
      </c>
      <c r="W43">
        <f>+W42*0.655</f>
        <v>1096.47</v>
      </c>
      <c r="AB43">
        <f>+AB42*0.45</f>
        <v>2511</v>
      </c>
      <c r="AC43">
        <f>+AC42*0.8812</f>
        <v>10735.659599999999</v>
      </c>
      <c r="AD43">
        <v>220</v>
      </c>
      <c r="AE43">
        <v>2983</v>
      </c>
      <c r="AG43">
        <v>1357</v>
      </c>
      <c r="AH43">
        <v>3149</v>
      </c>
      <c r="AJ43" s="5">
        <f>SUM(C43:AI43)</f>
        <v>43307.3246</v>
      </c>
      <c r="AK43">
        <f>+AB43+Q43+V43+AC43+AE43+AF43+S43</f>
        <v>25159.759599999998</v>
      </c>
      <c r="AL43" s="20">
        <f>+D43+F43+H43+I43+J43+M43+N43+P43+R43+X43+E43+AH43+W43</f>
        <v>13972.564999999999</v>
      </c>
      <c r="AM43">
        <f>+C43+G43+O43+Y43+AD43+AI43+AG43+K43+L43+U43+T43+Z43+AA43</f>
        <v>4175</v>
      </c>
      <c r="AN43">
        <f>+F43+H43+M43+P43+U43+X43+AI43</f>
        <v>6919</v>
      </c>
      <c r="AO43" s="20">
        <f>+B43+C43+D43+I43+J43+K43+L43+N43+O43+Q43+R43+V43+Y43+AB43+AC43+AD43+AE43+AF43+AG43+S43+E43+AH43+W43</f>
        <v>35065.3246</v>
      </c>
      <c r="AP43">
        <f>+AA43+Z43+T43+G43</f>
        <v>1323</v>
      </c>
      <c r="AQ43">
        <f>+AK43+AL43+AM43</f>
        <v>43307.324599999993</v>
      </c>
    </row>
    <row r="44" spans="1:43" x14ac:dyDescent="0.2">
      <c r="A44" t="s">
        <v>4</v>
      </c>
      <c r="C44" s="3">
        <f>+C43/C42</f>
        <v>0.31832014607425441</v>
      </c>
      <c r="D44" s="3"/>
      <c r="E44" s="3" t="e">
        <f t="shared" ref="E44:J44" si="25">+E43/E42</f>
        <v>#DIV/0!</v>
      </c>
      <c r="F44" s="3">
        <f t="shared" si="25"/>
        <v>0.58597218111867422</v>
      </c>
      <c r="G44" s="3">
        <f t="shared" si="25"/>
        <v>0.75806451612903225</v>
      </c>
      <c r="H44" s="3">
        <f t="shared" si="25"/>
        <v>0.62280058651026393</v>
      </c>
      <c r="I44" s="3">
        <f t="shared" si="25"/>
        <v>0.86983588002263723</v>
      </c>
      <c r="J44" s="3">
        <f t="shared" si="25"/>
        <v>0.80984719864176569</v>
      </c>
      <c r="K44" s="3"/>
      <c r="L44" s="3">
        <f>+L43/L42</f>
        <v>0.12442396313364056</v>
      </c>
      <c r="M44" s="3">
        <f>+M43/M42</f>
        <v>0.44578853046594979</v>
      </c>
      <c r="N44" s="3"/>
      <c r="O44" s="3">
        <v>0</v>
      </c>
      <c r="P44" s="3">
        <f t="shared" ref="P44:X44" si="26">+P43/P42</f>
        <v>0.51982526881720426</v>
      </c>
      <c r="Q44" s="3" t="e">
        <f t="shared" si="26"/>
        <v>#DIV/0!</v>
      </c>
      <c r="R44" s="3">
        <f t="shared" si="26"/>
        <v>0.29499999999999998</v>
      </c>
      <c r="S44" s="3">
        <f t="shared" si="26"/>
        <v>0.31</v>
      </c>
      <c r="T44" s="3">
        <f t="shared" si="26"/>
        <v>0.69705469845722301</v>
      </c>
      <c r="U44" s="3">
        <f t="shared" si="26"/>
        <v>0.90064516129032257</v>
      </c>
      <c r="V44" s="3">
        <f t="shared" si="26"/>
        <v>0.48053392658509453</v>
      </c>
      <c r="W44" s="3">
        <f t="shared" si="26"/>
        <v>0.65500000000000003</v>
      </c>
      <c r="X44" s="3" t="e">
        <f t="shared" si="26"/>
        <v>#DIV/0!</v>
      </c>
      <c r="Y44" s="3">
        <v>0</v>
      </c>
      <c r="Z44" s="3"/>
      <c r="AA44" s="3">
        <v>0</v>
      </c>
      <c r="AB44" s="3">
        <f t="shared" ref="AB44:AH44" si="27">+AB43/AB42</f>
        <v>0.45</v>
      </c>
      <c r="AC44" s="3">
        <f t="shared" si="27"/>
        <v>0.88119999999999987</v>
      </c>
      <c r="AD44" s="3">
        <f t="shared" si="27"/>
        <v>0.54590570719602982</v>
      </c>
      <c r="AE44" s="3">
        <f t="shared" si="27"/>
        <v>0.62484289903644741</v>
      </c>
      <c r="AF44" s="3" t="e">
        <f t="shared" si="27"/>
        <v>#DIV/0!</v>
      </c>
      <c r="AG44" s="3">
        <f t="shared" si="27"/>
        <v>0.89867549668874169</v>
      </c>
      <c r="AH44" s="3">
        <f t="shared" si="27"/>
        <v>0.62704101951413782</v>
      </c>
      <c r="AI44" s="3" t="e">
        <f t="shared" ref="AI44:AP44" si="28">+AI43/AI42</f>
        <v>#DIV/0!</v>
      </c>
      <c r="AJ44" s="6">
        <f t="shared" si="28"/>
        <v>0.58167333216928796</v>
      </c>
      <c r="AK44" s="3">
        <f t="shared" si="28"/>
        <v>0.57930417443761362</v>
      </c>
      <c r="AL44" s="3">
        <f t="shared" si="28"/>
        <v>0.572716522523261</v>
      </c>
      <c r="AM44" s="3">
        <f t="shared" si="28"/>
        <v>0.63018867924528299</v>
      </c>
      <c r="AN44" s="3">
        <f t="shared" si="28"/>
        <v>0.57229114971050454</v>
      </c>
      <c r="AO44" s="3">
        <f t="shared" si="28"/>
        <v>0.57956340346759661</v>
      </c>
      <c r="AP44" s="3">
        <f t="shared" si="28"/>
        <v>0.71129032258064517</v>
      </c>
    </row>
    <row r="45" spans="1:43" x14ac:dyDescent="0.2">
      <c r="A45" s="20"/>
      <c r="B45" s="20"/>
      <c r="C45" s="20">
        <v>1</v>
      </c>
      <c r="D45" s="20"/>
      <c r="E45" s="20"/>
      <c r="F45" s="20">
        <v>1</v>
      </c>
      <c r="G45" s="20">
        <v>1</v>
      </c>
      <c r="H45" s="20">
        <v>1</v>
      </c>
      <c r="I45" s="20">
        <v>1</v>
      </c>
      <c r="J45" s="20">
        <v>1</v>
      </c>
      <c r="K45" s="20"/>
      <c r="L45" s="20">
        <v>1</v>
      </c>
      <c r="M45" s="20">
        <v>1</v>
      </c>
      <c r="N45" s="20"/>
      <c r="O45" s="20"/>
      <c r="P45" s="20">
        <v>1</v>
      </c>
      <c r="Q45" s="20"/>
      <c r="R45" s="20">
        <v>1</v>
      </c>
      <c r="S45" s="20">
        <v>1</v>
      </c>
      <c r="T45" s="20">
        <v>1</v>
      </c>
      <c r="U45" s="20">
        <v>1</v>
      </c>
      <c r="V45" s="20">
        <v>1</v>
      </c>
      <c r="W45" s="20">
        <v>1</v>
      </c>
      <c r="X45" s="20"/>
      <c r="Y45" s="20"/>
      <c r="Z45" s="20"/>
      <c r="AA45" s="20"/>
      <c r="AB45" s="20">
        <v>1</v>
      </c>
      <c r="AC45" s="20">
        <v>1</v>
      </c>
      <c r="AD45" s="20">
        <v>1</v>
      </c>
      <c r="AE45" s="20">
        <v>1</v>
      </c>
      <c r="AF45" s="20"/>
      <c r="AG45" s="20">
        <v>1</v>
      </c>
      <c r="AH45" s="20">
        <v>1</v>
      </c>
      <c r="AI45" s="20"/>
      <c r="AJ45" s="19">
        <f>SUM(C45:AI45)</f>
        <v>21</v>
      </c>
      <c r="AK45" s="20">
        <f>+AB45+Q45+V45+AC45+AE45+AF45+S45</f>
        <v>5</v>
      </c>
      <c r="AL45" s="20">
        <f>+D45+F45+H45+I45+J45+M45+N45+P45+R45+X45+E45+AH45+W45</f>
        <v>9</v>
      </c>
      <c r="AM45">
        <f>+C45+G45+O45+Y45+AD45+AI45+AG45+K45+L45+U45+T45+Z45+AA45</f>
        <v>7</v>
      </c>
      <c r="AN45" s="20">
        <f>+F45+H45+M45+P45+U45+X45+AI45</f>
        <v>5</v>
      </c>
      <c r="AO45" s="20">
        <f>+B45+C45+D45+I45+J45+K45+L45+N45+O45+Q45+R45+V45+Y45+AB45+AC45+AD45+AE45+AF45+AG45+S45+E45+AH45+W45</f>
        <v>14</v>
      </c>
      <c r="AP45">
        <f>+AA45+Z45+T45+G45</f>
        <v>2</v>
      </c>
    </row>
    <row r="47" spans="1:43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J47" s="5"/>
    </row>
    <row r="48" spans="1:43" x14ac:dyDescent="0.2">
      <c r="A48" t="s">
        <v>1</v>
      </c>
      <c r="C48">
        <v>1643</v>
      </c>
      <c r="F48">
        <v>3379</v>
      </c>
      <c r="G48">
        <v>434</v>
      </c>
      <c r="H48">
        <f>82*31</f>
        <v>2542</v>
      </c>
      <c r="I48">
        <v>1767</v>
      </c>
      <c r="J48">
        <v>1178</v>
      </c>
      <c r="L48">
        <v>434</v>
      </c>
      <c r="M48">
        <v>1584</v>
      </c>
      <c r="P48">
        <v>3038</v>
      </c>
      <c r="R48">
        <v>3441</v>
      </c>
      <c r="S48">
        <v>6510</v>
      </c>
      <c r="T48">
        <v>1426</v>
      </c>
      <c r="U48">
        <v>775</v>
      </c>
      <c r="V48">
        <v>14384</v>
      </c>
      <c r="W48">
        <v>1674</v>
      </c>
      <c r="AB48">
        <v>5580</v>
      </c>
      <c r="AC48">
        <v>12183</v>
      </c>
      <c r="AD48">
        <v>403</v>
      </c>
      <c r="AE48">
        <v>4774</v>
      </c>
      <c r="AG48">
        <v>1535</v>
      </c>
      <c r="AH48">
        <v>5146</v>
      </c>
      <c r="AJ48" s="5">
        <f>SUM(C48:AI48)</f>
        <v>73830</v>
      </c>
      <c r="AK48">
        <f>+AB48+Q48+V48+AC48+AE48+AF48+S48</f>
        <v>43431</v>
      </c>
      <c r="AL48" s="20">
        <f>+D48+F48+H48+I48+J48+M48+N48+P48+R48+X48+E48+AH48+W48</f>
        <v>23749</v>
      </c>
      <c r="AM48">
        <f>+C48+G48+O48+Y48+AD48+AI48+AG48+K48+L48+U48+T48+Z48+AA48</f>
        <v>6650</v>
      </c>
      <c r="AN48">
        <f>+F48+H48+M48+P48+U48+X48+AI48</f>
        <v>11318</v>
      </c>
      <c r="AO48" s="20">
        <f>+B48+C48+D48+I48+J48+K48+L48+N48+O48+Q48+R48+V48+Y48+AB48+AC48+AD48+AE48+AF48+AG48+S48+E48+AH48+W48</f>
        <v>60652</v>
      </c>
      <c r="AP48">
        <f>+AA48+Z48+T48+G48</f>
        <v>1860</v>
      </c>
      <c r="AQ48">
        <f>+AK48+AL48+AM48</f>
        <v>73830</v>
      </c>
    </row>
    <row r="49" spans="1:45" x14ac:dyDescent="0.2">
      <c r="A49" t="s">
        <v>2</v>
      </c>
      <c r="C49">
        <v>619</v>
      </c>
      <c r="F49">
        <v>1399</v>
      </c>
      <c r="G49">
        <v>281</v>
      </c>
      <c r="H49">
        <v>1446</v>
      </c>
      <c r="I49">
        <v>1361</v>
      </c>
      <c r="J49">
        <v>777</v>
      </c>
      <c r="L49">
        <v>5</v>
      </c>
      <c r="M49">
        <v>452</v>
      </c>
      <c r="P49">
        <v>1601</v>
      </c>
      <c r="R49">
        <f>+R48*0.418</f>
        <v>1438.338</v>
      </c>
      <c r="S49">
        <f>+S48*0.53</f>
        <v>3450.3</v>
      </c>
      <c r="T49">
        <f>+T48*0.554</f>
        <v>790.00400000000002</v>
      </c>
      <c r="U49">
        <f>+U48*0.8</f>
        <v>620</v>
      </c>
      <c r="V49">
        <f>+V48*0.47</f>
        <v>6760.48</v>
      </c>
      <c r="W49">
        <f>+W48*0.64</f>
        <v>1071.3600000000001</v>
      </c>
      <c r="AB49">
        <f>+AB48*0.41</f>
        <v>2287.7999999999997</v>
      </c>
      <c r="AC49">
        <f>+AC48*0.829</f>
        <v>10099.707</v>
      </c>
      <c r="AD49">
        <v>219</v>
      </c>
      <c r="AE49">
        <v>2959</v>
      </c>
      <c r="AG49">
        <v>1380</v>
      </c>
      <c r="AH49">
        <v>3678</v>
      </c>
      <c r="AJ49" s="5">
        <f>SUM(C49:AI49)</f>
        <v>42694.989000000001</v>
      </c>
      <c r="AK49">
        <f>+AB49+Q49+V49+AC49+AE49+AF49+S49</f>
        <v>25557.287</v>
      </c>
      <c r="AL49" s="20">
        <f>+D49+F49+H49+I49+J49+M49+N49+P49+R49+X49+E49+AH49+W49</f>
        <v>13223.698</v>
      </c>
      <c r="AM49">
        <f>+C49+G49+O49+Y49+AD49+AI49+AG49+K49+L49+U49+T49+Z49+AA49</f>
        <v>3914.0039999999999</v>
      </c>
      <c r="AN49">
        <f>+F49+H49+M49+P49+U49+X49+AI49</f>
        <v>5518</v>
      </c>
      <c r="AO49" s="20">
        <f>+B49+C49+D49+I49+J49+K49+L49+N49+O49+Q49+R49+V49+Y49+AB49+AC49+AD49+AE49+AF49+AG49+S49+E49+AH49+W49</f>
        <v>36105.985000000001</v>
      </c>
      <c r="AP49">
        <f>+AA49+Z49+T49+G49</f>
        <v>1071.0039999999999</v>
      </c>
      <c r="AQ49">
        <f>+AK49+AL49+AM49</f>
        <v>42694.989000000001</v>
      </c>
    </row>
    <row r="50" spans="1:45" x14ac:dyDescent="0.2">
      <c r="A50" t="s">
        <v>4</v>
      </c>
      <c r="C50" s="3">
        <f>+C49/C48</f>
        <v>0.37674984783931831</v>
      </c>
      <c r="D50" s="3"/>
      <c r="E50" s="3" t="e">
        <f t="shared" ref="E50:J50" si="29">+E49/E48</f>
        <v>#DIV/0!</v>
      </c>
      <c r="F50" s="3">
        <f t="shared" si="29"/>
        <v>0.41402781888132584</v>
      </c>
      <c r="G50" s="3">
        <f t="shared" si="29"/>
        <v>0.64746543778801846</v>
      </c>
      <c r="H50" s="3">
        <f t="shared" si="29"/>
        <v>0.56884343036978757</v>
      </c>
      <c r="I50" s="3">
        <f t="shared" si="29"/>
        <v>0.77023203169213361</v>
      </c>
      <c r="J50" s="3">
        <f t="shared" si="29"/>
        <v>0.65959252971137516</v>
      </c>
      <c r="K50" s="3"/>
      <c r="L50" s="3">
        <f>+L49/L48</f>
        <v>1.1520737327188941E-2</v>
      </c>
      <c r="M50" s="3">
        <f>+M49/M48</f>
        <v>0.28535353535353536</v>
      </c>
      <c r="N50" s="3"/>
      <c r="O50" s="3">
        <v>0</v>
      </c>
      <c r="P50" s="3">
        <f t="shared" ref="P50:X50" si="30">+P49/P48</f>
        <v>0.52699144173798551</v>
      </c>
      <c r="Q50" s="3" t="e">
        <f t="shared" si="30"/>
        <v>#DIV/0!</v>
      </c>
      <c r="R50" s="3">
        <f t="shared" si="30"/>
        <v>0.41799999999999998</v>
      </c>
      <c r="S50" s="3">
        <f t="shared" si="30"/>
        <v>0.53</v>
      </c>
      <c r="T50" s="3">
        <f t="shared" si="30"/>
        <v>0.55400000000000005</v>
      </c>
      <c r="U50" s="3">
        <f t="shared" si="30"/>
        <v>0.8</v>
      </c>
      <c r="V50" s="3">
        <f t="shared" si="30"/>
        <v>0.47</v>
      </c>
      <c r="W50" s="3">
        <f t="shared" si="30"/>
        <v>0.64000000000000012</v>
      </c>
      <c r="X50" s="3" t="e">
        <f t="shared" si="30"/>
        <v>#DIV/0!</v>
      </c>
      <c r="Y50" s="3">
        <v>0</v>
      </c>
      <c r="Z50" s="3"/>
      <c r="AA50" s="3">
        <v>0</v>
      </c>
      <c r="AB50" s="3">
        <f t="shared" ref="AB50:AH50" si="31">+AB49/AB48</f>
        <v>0.41</v>
      </c>
      <c r="AC50" s="3">
        <f t="shared" si="31"/>
        <v>0.82900000000000007</v>
      </c>
      <c r="AD50" s="3">
        <f t="shared" si="31"/>
        <v>0.54342431761786603</v>
      </c>
      <c r="AE50" s="3">
        <f t="shared" si="31"/>
        <v>0.61981566820276501</v>
      </c>
      <c r="AF50" s="3" t="e">
        <f t="shared" si="31"/>
        <v>#DIV/0!</v>
      </c>
      <c r="AG50" s="3">
        <f t="shared" si="31"/>
        <v>0.89902280130293155</v>
      </c>
      <c r="AH50" s="3">
        <f t="shared" si="31"/>
        <v>0.71472988729109987</v>
      </c>
      <c r="AI50" s="3" t="e">
        <f t="shared" ref="AI50:AP50" si="32">+AI49/AI48</f>
        <v>#DIV/0!</v>
      </c>
      <c r="AJ50" s="6">
        <f t="shared" si="32"/>
        <v>0.57828780983340111</v>
      </c>
      <c r="AK50" s="3">
        <f t="shared" si="32"/>
        <v>0.58845725403513616</v>
      </c>
      <c r="AL50" s="3">
        <f t="shared" si="32"/>
        <v>0.5568107288727947</v>
      </c>
      <c r="AM50" s="3">
        <f t="shared" si="32"/>
        <v>0.58857203007518799</v>
      </c>
      <c r="AN50" s="3">
        <f t="shared" si="32"/>
        <v>0.48754196854567944</v>
      </c>
      <c r="AO50" s="3">
        <f t="shared" si="32"/>
        <v>0.59529751698212752</v>
      </c>
      <c r="AP50" s="3">
        <f t="shared" si="32"/>
        <v>0.57580860215053753</v>
      </c>
    </row>
    <row r="51" spans="1:45" x14ac:dyDescent="0.2">
      <c r="A51" s="20"/>
      <c r="B51" s="20"/>
      <c r="C51" s="20">
        <v>1</v>
      </c>
      <c r="D51" s="20"/>
      <c r="E51" s="20"/>
      <c r="F51" s="20">
        <v>1</v>
      </c>
      <c r="G51" s="20">
        <v>1</v>
      </c>
      <c r="H51" s="20">
        <v>1</v>
      </c>
      <c r="I51" s="20">
        <v>1</v>
      </c>
      <c r="J51" s="20">
        <v>1</v>
      </c>
      <c r="K51" s="20"/>
      <c r="L51" s="20">
        <v>1</v>
      </c>
      <c r="M51" s="20">
        <v>1</v>
      </c>
      <c r="N51" s="20"/>
      <c r="O51" s="20"/>
      <c r="P51" s="20">
        <v>1</v>
      </c>
      <c r="Q51" s="20"/>
      <c r="R51" s="20">
        <v>1</v>
      </c>
      <c r="S51" s="20">
        <v>1</v>
      </c>
      <c r="T51" s="20">
        <v>1</v>
      </c>
      <c r="U51" s="20">
        <v>1</v>
      </c>
      <c r="V51" s="20">
        <v>1</v>
      </c>
      <c r="W51" s="20">
        <v>1</v>
      </c>
      <c r="X51" s="20"/>
      <c r="Y51" s="20"/>
      <c r="Z51" s="20"/>
      <c r="AA51" s="20"/>
      <c r="AB51" s="20">
        <v>1</v>
      </c>
      <c r="AC51" s="20">
        <v>1</v>
      </c>
      <c r="AD51" s="20">
        <v>1</v>
      </c>
      <c r="AE51" s="20">
        <v>1</v>
      </c>
      <c r="AF51" s="20"/>
      <c r="AG51" s="20">
        <v>1</v>
      </c>
      <c r="AH51" s="20">
        <v>1</v>
      </c>
      <c r="AI51" s="20"/>
      <c r="AJ51" s="19">
        <f>SUM(C51:AI51)</f>
        <v>21</v>
      </c>
      <c r="AK51" s="20">
        <f>+AB51+Q51+V51+AC51+AE51+AF51+S51</f>
        <v>5</v>
      </c>
      <c r="AL51" s="20">
        <f>+D51+F51+H51+I51+J51+M51+N51+P51+R51+X51+E51+AH51+W51</f>
        <v>9</v>
      </c>
      <c r="AM51">
        <f>+C51+G51+O51+Y51+AD51+AI51+AG51+K51+L51+U51+T51+Z51+AA51</f>
        <v>7</v>
      </c>
      <c r="AN51" s="20">
        <f>+F51+H51+M51+P51+U51+X51+AI51</f>
        <v>5</v>
      </c>
      <c r="AO51" s="20">
        <f>+B51+C51+D51+I51+J51+K51+L51+N51+O51+Q51+R51+V51+Y51+AB51+AC51+AD51+AE51+AF51+AG51+S51+E51+AH51+W51</f>
        <v>14</v>
      </c>
      <c r="AP51">
        <f>+AA51+Z51+T51+G51</f>
        <v>2</v>
      </c>
    </row>
    <row r="52" spans="1:45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19"/>
      <c r="AK52" s="20"/>
      <c r="AL52" s="20"/>
      <c r="AM52" s="20"/>
      <c r="AN52" s="20"/>
      <c r="AO52" s="20"/>
      <c r="AP52" s="20"/>
    </row>
    <row r="53" spans="1:45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J53" s="5"/>
    </row>
    <row r="54" spans="1:45" x14ac:dyDescent="0.2">
      <c r="A54" t="s">
        <v>1</v>
      </c>
      <c r="C54">
        <v>1590</v>
      </c>
      <c r="E54">
        <v>0</v>
      </c>
      <c r="F54">
        <v>3270</v>
      </c>
      <c r="G54">
        <v>420</v>
      </c>
      <c r="H54">
        <v>0</v>
      </c>
      <c r="I54">
        <v>1710</v>
      </c>
      <c r="J54">
        <v>1140</v>
      </c>
      <c r="L54">
        <v>0</v>
      </c>
      <c r="M54">
        <v>0</v>
      </c>
      <c r="N54" s="2"/>
      <c r="O54">
        <v>0</v>
      </c>
      <c r="P54" s="31">
        <v>2940</v>
      </c>
      <c r="R54">
        <v>3330</v>
      </c>
      <c r="S54">
        <v>6300</v>
      </c>
      <c r="T54">
        <v>1426</v>
      </c>
      <c r="U54">
        <v>0</v>
      </c>
      <c r="V54">
        <v>13920</v>
      </c>
      <c r="W54">
        <v>1620</v>
      </c>
      <c r="X54">
        <v>0</v>
      </c>
      <c r="Y54">
        <v>0</v>
      </c>
      <c r="AA54">
        <v>0</v>
      </c>
      <c r="AB54">
        <v>5400</v>
      </c>
      <c r="AC54">
        <v>11790</v>
      </c>
      <c r="AD54">
        <v>390</v>
      </c>
      <c r="AE54">
        <v>4620</v>
      </c>
      <c r="AF54">
        <v>0</v>
      </c>
      <c r="AG54">
        <v>1410</v>
      </c>
      <c r="AH54">
        <v>4980</v>
      </c>
      <c r="AI54">
        <v>0</v>
      </c>
      <c r="AJ54" s="5">
        <f>SUM(C54:AI54)</f>
        <v>66256</v>
      </c>
      <c r="AK54">
        <f>+AB54+Q54+V54+AC54+AE54+AF54+S54</f>
        <v>42030</v>
      </c>
      <c r="AL54" s="20">
        <f>+D54+F54+H54+I54+J54+M54+N54+P54+R54+X54+E54+AH54+W54</f>
        <v>18990</v>
      </c>
      <c r="AM54">
        <f>+C54+G54+O54+Y54+AD54+AI54+AG54+K54+L54+U54+T54+Z54+AA54</f>
        <v>5236</v>
      </c>
      <c r="AN54">
        <f>+F54+H54+M54+P54+U54+X54+AI54</f>
        <v>6210</v>
      </c>
      <c r="AO54" s="20">
        <f>+B54+C54+D54+I54+J54+K54+L54+N54+O54+Q54+R54+V54+Y54+AB54+AC54+AD54+AE54+AF54+AG54+S54+E54+AH54+W54</f>
        <v>58200</v>
      </c>
      <c r="AP54">
        <f>+AA54+Z54+T54+G54</f>
        <v>1846</v>
      </c>
      <c r="AQ54">
        <f>+AK54+AL54+AM54</f>
        <v>66256</v>
      </c>
      <c r="AS54">
        <f>+AJ54+AJ48+AJ42+AJ36+AJ30+AJ6+AJ12+AJ18+6+AJ24</f>
        <v>685737</v>
      </c>
    </row>
    <row r="55" spans="1:45" x14ac:dyDescent="0.2">
      <c r="A55" t="s">
        <v>2</v>
      </c>
      <c r="C55">
        <v>467</v>
      </c>
      <c r="E55">
        <v>0</v>
      </c>
      <c r="F55">
        <v>1079</v>
      </c>
      <c r="G55">
        <v>81</v>
      </c>
      <c r="H55">
        <v>0</v>
      </c>
      <c r="I55">
        <v>1129</v>
      </c>
      <c r="J55">
        <v>638</v>
      </c>
      <c r="L55">
        <v>0</v>
      </c>
      <c r="M55">
        <v>0</v>
      </c>
      <c r="N55" s="2"/>
      <c r="O55">
        <v>0</v>
      </c>
      <c r="P55">
        <v>1395</v>
      </c>
      <c r="R55">
        <v>932</v>
      </c>
      <c r="S55">
        <f>+S54*0.277</f>
        <v>1745.1000000000001</v>
      </c>
      <c r="T55">
        <v>754</v>
      </c>
      <c r="U55">
        <v>0</v>
      </c>
      <c r="V55">
        <v>3688</v>
      </c>
      <c r="W55">
        <f>+W54*0.25</f>
        <v>405</v>
      </c>
      <c r="X55">
        <v>0</v>
      </c>
      <c r="Y55">
        <v>0</v>
      </c>
      <c r="AA55">
        <v>0</v>
      </c>
      <c r="AB55">
        <f>+AB54*0.41</f>
        <v>2214</v>
      </c>
      <c r="AC55">
        <v>8489</v>
      </c>
      <c r="AD55">
        <v>84</v>
      </c>
      <c r="AE55">
        <v>1839</v>
      </c>
      <c r="AF55">
        <v>0</v>
      </c>
      <c r="AG55">
        <v>1240</v>
      </c>
      <c r="AH55">
        <v>1889</v>
      </c>
      <c r="AI55">
        <v>0</v>
      </c>
      <c r="AJ55" s="5">
        <f>SUM(C55:AI55)</f>
        <v>28068.1</v>
      </c>
      <c r="AK55">
        <f>+AB55+Q55+V55+AC55+AE55+AF55+S55</f>
        <v>17975.099999999999</v>
      </c>
      <c r="AL55" s="20">
        <f>+D55+F55+H55+I55+J55+M55+N55+P55+R55+X55+E55+AH55+W55</f>
        <v>7467</v>
      </c>
      <c r="AM55">
        <f>+C55+G55+O55+Y55+AD55+AI55+AG55+K55+L55+U55+T55+Z55+AA55</f>
        <v>2626</v>
      </c>
      <c r="AN55">
        <f>+F55+H55+M55+P55+U55+X55+AI55</f>
        <v>2474</v>
      </c>
      <c r="AO55" s="20">
        <f>+B55+C55+D55+I55+J55+K55+L55+N55+O55+Q55+R55+V55+Y55+AB55+AC55+AD55+AE55+AF55+AG55+S55+E55+AH55+W55</f>
        <v>24759.1</v>
      </c>
      <c r="AP55">
        <f>+AA55+Z55+T55+G55</f>
        <v>835</v>
      </c>
      <c r="AQ55">
        <f>+AK55+AL55+AM55</f>
        <v>28068.1</v>
      </c>
      <c r="AS55">
        <f>+AJ55+AJ49+AJ43+AJ37+AJ31+AJ7+AJ13+AJ19+6+AJ25</f>
        <v>445465.91039999999</v>
      </c>
    </row>
    <row r="56" spans="1:45" x14ac:dyDescent="0.2">
      <c r="A56" t="s">
        <v>4</v>
      </c>
      <c r="C56" s="3">
        <f>+C55/C54</f>
        <v>0.29371069182389936</v>
      </c>
      <c r="D56" s="3"/>
      <c r="E56" s="3" t="e">
        <f>+E55/E54</f>
        <v>#DIV/0!</v>
      </c>
      <c r="F56" s="3">
        <f>+F55/F54</f>
        <v>0.32996941896024468</v>
      </c>
      <c r="G56" s="3">
        <f>+G55/G54</f>
        <v>0.19285714285714287</v>
      </c>
      <c r="H56" s="3">
        <v>0</v>
      </c>
      <c r="I56" s="3">
        <f>+I55/I54</f>
        <v>0.66023391812865495</v>
      </c>
      <c r="J56" s="3">
        <f>+J55/J54</f>
        <v>0.55964912280701751</v>
      </c>
      <c r="K56" s="3"/>
      <c r="L56" s="3" t="e">
        <f>+L55/L54</f>
        <v>#DIV/0!</v>
      </c>
      <c r="M56" s="3">
        <v>0</v>
      </c>
      <c r="N56" s="2"/>
      <c r="O56" s="3">
        <v>0</v>
      </c>
      <c r="P56" s="3">
        <f t="shared" ref="P56:X56" si="33">+P55/P54</f>
        <v>0.47448979591836737</v>
      </c>
      <c r="Q56" s="3" t="e">
        <f t="shared" si="33"/>
        <v>#DIV/0!</v>
      </c>
      <c r="R56" s="3">
        <f t="shared" si="33"/>
        <v>0.27987987987987989</v>
      </c>
      <c r="S56" s="3">
        <f t="shared" si="33"/>
        <v>0.27700000000000002</v>
      </c>
      <c r="T56" s="3">
        <f t="shared" si="33"/>
        <v>0.52875175315568024</v>
      </c>
      <c r="U56" s="3" t="e">
        <f t="shared" si="33"/>
        <v>#DIV/0!</v>
      </c>
      <c r="V56" s="3">
        <f t="shared" si="33"/>
        <v>0.26494252873563218</v>
      </c>
      <c r="W56" s="3">
        <f t="shared" si="33"/>
        <v>0.25</v>
      </c>
      <c r="X56" s="3" t="e">
        <f t="shared" si="33"/>
        <v>#DIV/0!</v>
      </c>
      <c r="Y56" s="3">
        <v>0</v>
      </c>
      <c r="Z56" s="3"/>
      <c r="AA56" s="3">
        <v>0</v>
      </c>
      <c r="AB56" s="3">
        <f t="shared" ref="AB56:AH56" si="34">+AB55/AB54</f>
        <v>0.41</v>
      </c>
      <c r="AC56" s="3">
        <f t="shared" si="34"/>
        <v>0.72001696352841393</v>
      </c>
      <c r="AD56" s="3">
        <f t="shared" si="34"/>
        <v>0.2153846153846154</v>
      </c>
      <c r="AE56" s="3">
        <f t="shared" si="34"/>
        <v>0.39805194805194805</v>
      </c>
      <c r="AF56" s="3" t="e">
        <f t="shared" si="34"/>
        <v>#DIV/0!</v>
      </c>
      <c r="AG56" s="3">
        <f t="shared" si="34"/>
        <v>0.87943262411347523</v>
      </c>
      <c r="AH56" s="3">
        <f t="shared" si="34"/>
        <v>0.3793172690763052</v>
      </c>
      <c r="AI56" s="3">
        <v>0</v>
      </c>
      <c r="AJ56" s="6">
        <f>+AJ55/AJ54</f>
        <v>0.42363106737503015</v>
      </c>
      <c r="AK56" s="3">
        <f t="shared" ref="AK56:AP56" si="35">+AK55/AK54</f>
        <v>0.42767309064953601</v>
      </c>
      <c r="AL56" s="3">
        <f t="shared" si="35"/>
        <v>0.39320695102685627</v>
      </c>
      <c r="AM56" s="3">
        <f t="shared" si="35"/>
        <v>0.50152788388082503</v>
      </c>
      <c r="AN56" s="3">
        <f t="shared" si="35"/>
        <v>0.39838969404186797</v>
      </c>
      <c r="AO56" s="3">
        <f t="shared" si="35"/>
        <v>0.42541408934707903</v>
      </c>
      <c r="AP56" s="3">
        <f t="shared" si="35"/>
        <v>0.45232936078006503</v>
      </c>
      <c r="AS56">
        <f>+AS55/AS54</f>
        <v>0.64961626746114032</v>
      </c>
    </row>
    <row r="57" spans="1:45" x14ac:dyDescent="0.2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/>
      <c r="I57" s="20">
        <v>1</v>
      </c>
      <c r="J57" s="20">
        <v>1</v>
      </c>
      <c r="K57" s="20"/>
      <c r="L57" s="20"/>
      <c r="M57" s="20"/>
      <c r="N57" s="2"/>
      <c r="O57" s="20"/>
      <c r="P57" s="20">
        <v>1</v>
      </c>
      <c r="Q57" s="20"/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/>
      <c r="AG57" s="20">
        <v>1</v>
      </c>
      <c r="AH57" s="20">
        <v>1</v>
      </c>
      <c r="AI57" s="20"/>
      <c r="AJ57" s="19">
        <f>SUM(C57:AI57)</f>
        <v>17</v>
      </c>
      <c r="AK57" s="20">
        <f>+AB57+Q57+V57+AC57+AE57+AF57+S57</f>
        <v>5</v>
      </c>
      <c r="AL57" s="20">
        <f>+D57+F57+H57+I57+J57+M57+N57+P57+R57+X57+E57+AH57+W57</f>
        <v>7</v>
      </c>
      <c r="AM57">
        <f>+C57+G57+O57+Y57+AD57+AI57+AG57+K57+L57+U57+T57+Z57+AA57</f>
        <v>5</v>
      </c>
      <c r="AN57" s="20">
        <f>+F57+H57+M57+P57+U57+X57+AI57</f>
        <v>2</v>
      </c>
      <c r="AO57" s="20">
        <f>+B57+C57+D57+I57+J57+K57+L57+N57+O57+Q57+R57+V57+Y57+AB57+AC57+AD57+AE57+AF57+AG57+S57+E57+AH57+W57</f>
        <v>13</v>
      </c>
      <c r="AP57">
        <f>+AA57+Z57+T57+G57</f>
        <v>2</v>
      </c>
    </row>
    <row r="58" spans="1:45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19"/>
      <c r="AK58" s="20"/>
      <c r="AL58" s="20"/>
      <c r="AM58" s="20"/>
      <c r="AN58" s="20"/>
      <c r="AO58" s="20"/>
      <c r="AP58" s="20"/>
    </row>
    <row r="59" spans="1:45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J59" s="5"/>
    </row>
    <row r="60" spans="1:45" x14ac:dyDescent="0.2">
      <c r="A60" t="s">
        <v>1</v>
      </c>
      <c r="C60">
        <v>1643</v>
      </c>
      <c r="E60">
        <v>0</v>
      </c>
      <c r="F60">
        <v>3379</v>
      </c>
      <c r="G60">
        <v>434</v>
      </c>
      <c r="H60">
        <f>2452/31*21</f>
        <v>1661.0322580645161</v>
      </c>
      <c r="I60">
        <v>1767</v>
      </c>
      <c r="J60">
        <v>1178</v>
      </c>
      <c r="L60">
        <v>434</v>
      </c>
      <c r="M60">
        <v>504</v>
      </c>
      <c r="N60" s="2"/>
      <c r="O60">
        <v>0</v>
      </c>
      <c r="P60">
        <v>2976</v>
      </c>
      <c r="R60">
        <v>3441</v>
      </c>
      <c r="S60">
        <v>6510</v>
      </c>
      <c r="T60">
        <v>1380</v>
      </c>
      <c r="U60">
        <f>25*25</f>
        <v>625</v>
      </c>
      <c r="V60">
        <v>14384</v>
      </c>
      <c r="W60">
        <v>1674</v>
      </c>
      <c r="Y60">
        <v>0</v>
      </c>
      <c r="AB60">
        <v>5580</v>
      </c>
      <c r="AC60">
        <v>12183</v>
      </c>
      <c r="AD60">
        <v>403</v>
      </c>
      <c r="AE60">
        <v>4774</v>
      </c>
      <c r="AF60">
        <f>3844/31*15</f>
        <v>1860</v>
      </c>
      <c r="AG60">
        <v>1567</v>
      </c>
      <c r="AH60">
        <v>5115</v>
      </c>
      <c r="AI60">
        <v>0</v>
      </c>
      <c r="AJ60" s="5">
        <f>SUM(C60:AI60)</f>
        <v>73472.032258064515</v>
      </c>
      <c r="AK60">
        <f>+AB60+Q60+V60+AC60+AE60+AF60+S60</f>
        <v>45291</v>
      </c>
      <c r="AL60" s="20">
        <f>+D60+F60+H60+I60+J60+M60+N60+P60+R60+X60+E60+AH60+W60</f>
        <v>21695.032258064515</v>
      </c>
      <c r="AM60">
        <f>+C60+G60+O60+Y60+AD60+AI60+AG60+K60+L60+U60+T60+Z60+AA60</f>
        <v>6486</v>
      </c>
      <c r="AN60">
        <f>+F60+H60+M60+P60+U60+X60+AI60</f>
        <v>9145.0322580645152</v>
      </c>
      <c r="AO60" s="20">
        <f>+B60+C60+D60+I60+J60+K60+L60+N60+O60+Q60+R60+V60+Y60+AB60+AC60+AD60+AE60+AF60+AG60+S60+E60+AH60+W60</f>
        <v>62513</v>
      </c>
      <c r="AP60">
        <f>+AA60+Z60+T60+G60</f>
        <v>1814</v>
      </c>
      <c r="AQ60">
        <f>+AK60+AL60+AM60</f>
        <v>73472.032258064515</v>
      </c>
    </row>
    <row r="61" spans="1:45" x14ac:dyDescent="0.2">
      <c r="A61" t="s">
        <v>2</v>
      </c>
      <c r="C61">
        <v>656</v>
      </c>
      <c r="E61">
        <v>0</v>
      </c>
      <c r="F61">
        <f>+F60*0.418</f>
        <v>1412.422</v>
      </c>
      <c r="G61">
        <v>216</v>
      </c>
      <c r="H61">
        <v>825</v>
      </c>
      <c r="I61">
        <v>1396</v>
      </c>
      <c r="J61">
        <v>789</v>
      </c>
      <c r="L61">
        <v>9</v>
      </c>
      <c r="M61">
        <v>26</v>
      </c>
      <c r="N61" s="2"/>
      <c r="O61">
        <v>0</v>
      </c>
      <c r="P61">
        <v>1266</v>
      </c>
      <c r="R61">
        <f>+R60*0.317</f>
        <v>1090.797</v>
      </c>
      <c r="S61">
        <f>+S60*0.27</f>
        <v>1757.7</v>
      </c>
      <c r="T61">
        <v>905</v>
      </c>
      <c r="U61">
        <f>+U60*0.6</f>
        <v>375</v>
      </c>
      <c r="V61">
        <f>+V60*0.45</f>
        <v>6472.8</v>
      </c>
      <c r="W61">
        <v>854</v>
      </c>
      <c r="Y61">
        <v>0</v>
      </c>
      <c r="AB61">
        <f>+AB60*0.42</f>
        <v>2343.6</v>
      </c>
      <c r="AC61">
        <v>9592</v>
      </c>
      <c r="AD61">
        <v>199</v>
      </c>
      <c r="AE61">
        <v>2002</v>
      </c>
      <c r="AF61">
        <f>+AF60*0.407</f>
        <v>757.02</v>
      </c>
      <c r="AG61">
        <v>1475</v>
      </c>
      <c r="AH61">
        <v>2963</v>
      </c>
      <c r="AI61">
        <v>0</v>
      </c>
      <c r="AJ61" s="5">
        <f>SUM(C61:AI61)</f>
        <v>37382.339</v>
      </c>
      <c r="AK61">
        <f>+AB61+Q61+V61+AC61+AE61+AF61+S61</f>
        <v>22925.120000000003</v>
      </c>
      <c r="AL61" s="20">
        <f>+D61+F61+H61+I61+J61+M61+N61+P61+R61+X61+E61+AH61+W61</f>
        <v>10622.219000000001</v>
      </c>
      <c r="AM61">
        <f>+C61+G61+O61+Y61+AD61+AI61+AG61+K61+L61+U61+T61+Z61+AA61</f>
        <v>3835</v>
      </c>
      <c r="AN61">
        <f>+F61+H61+M61+P61+U61+X61+AI61</f>
        <v>3904.422</v>
      </c>
      <c r="AO61" s="20">
        <f>+B61+C61+D61+I61+J61+K61+L61+N61+O61+Q61+R61+V61+Y61+AB61+AC61+AD61+AE61+AF61+AG61+S61+E61+AH61+W61</f>
        <v>32356.917000000001</v>
      </c>
      <c r="AP61">
        <f>+AA61+Z61+T61+G61</f>
        <v>1121</v>
      </c>
      <c r="AQ61">
        <f>+AK61+AL61+AM61</f>
        <v>37382.339000000007</v>
      </c>
    </row>
    <row r="62" spans="1:45" x14ac:dyDescent="0.2">
      <c r="A62" t="s">
        <v>4</v>
      </c>
      <c r="C62" s="3">
        <f>+C61/C60</f>
        <v>0.3992696287279367</v>
      </c>
      <c r="D62" s="3"/>
      <c r="E62" s="3">
        <v>0</v>
      </c>
      <c r="F62" s="3">
        <f>+F61/F60</f>
        <v>0.41799999999999998</v>
      </c>
      <c r="G62" s="3">
        <f>+G61/G60</f>
        <v>0.49769585253456222</v>
      </c>
      <c r="H62" s="3">
        <f>+H61/H60</f>
        <v>0.49667909578186903</v>
      </c>
      <c r="I62" s="3">
        <f>+I61/I60</f>
        <v>0.79003961516694965</v>
      </c>
      <c r="J62" s="3">
        <f>+J61/J60</f>
        <v>0.66977928692699495</v>
      </c>
      <c r="K62" s="3"/>
      <c r="L62" s="3">
        <f>+L61/L60</f>
        <v>2.0737327188940093E-2</v>
      </c>
      <c r="M62" s="3">
        <f>+M61/M60</f>
        <v>5.1587301587301584E-2</v>
      </c>
      <c r="N62" s="2"/>
      <c r="O62" s="3">
        <v>0</v>
      </c>
      <c r="P62" s="3">
        <f t="shared" ref="P62:X62" si="36">+P61/P60</f>
        <v>0.42540322580645162</v>
      </c>
      <c r="Q62" s="3" t="e">
        <f t="shared" si="36"/>
        <v>#DIV/0!</v>
      </c>
      <c r="R62" s="3">
        <f t="shared" si="36"/>
        <v>0.317</v>
      </c>
      <c r="S62" s="3">
        <f t="shared" si="36"/>
        <v>0.27</v>
      </c>
      <c r="T62" s="3">
        <f t="shared" si="36"/>
        <v>0.65579710144927539</v>
      </c>
      <c r="U62" s="3">
        <f t="shared" si="36"/>
        <v>0.6</v>
      </c>
      <c r="V62" s="3">
        <f t="shared" si="36"/>
        <v>0.45</v>
      </c>
      <c r="W62" s="3">
        <f t="shared" si="36"/>
        <v>0.51015531660692948</v>
      </c>
      <c r="X62" s="3" t="e">
        <f t="shared" si="36"/>
        <v>#DIV/0!</v>
      </c>
      <c r="Y62" s="3">
        <v>0</v>
      </c>
      <c r="Z62" s="3"/>
      <c r="AA62" s="3">
        <v>0</v>
      </c>
      <c r="AB62" s="3">
        <f t="shared" ref="AB62:AH62" si="37">+AB61/AB60</f>
        <v>0.42</v>
      </c>
      <c r="AC62" s="3">
        <f t="shared" si="37"/>
        <v>0.78732660264302712</v>
      </c>
      <c r="AD62" s="3">
        <f t="shared" si="37"/>
        <v>0.49379652605459057</v>
      </c>
      <c r="AE62" s="3">
        <f t="shared" si="37"/>
        <v>0.41935483870967744</v>
      </c>
      <c r="AF62" s="3">
        <f t="shared" si="37"/>
        <v>0.40699999999999997</v>
      </c>
      <c r="AG62" s="3">
        <f t="shared" si="37"/>
        <v>0.94128908742820672</v>
      </c>
      <c r="AH62" s="3">
        <f t="shared" si="37"/>
        <v>0.57927663734115342</v>
      </c>
      <c r="AI62" s="3">
        <v>0</v>
      </c>
      <c r="AJ62" s="6">
        <f>+AJ61/AJ60</f>
        <v>0.50879685577088141</v>
      </c>
      <c r="AK62" s="3">
        <f t="shared" ref="AK62:AP62" si="38">+AK61/AK60</f>
        <v>0.5061738535249829</v>
      </c>
      <c r="AL62" s="3">
        <f t="shared" si="38"/>
        <v>0.48961526646504483</v>
      </c>
      <c r="AM62" s="3">
        <f t="shared" si="38"/>
        <v>0.59127351218008017</v>
      </c>
      <c r="AN62" s="3">
        <f t="shared" si="38"/>
        <v>0.42694458475604596</v>
      </c>
      <c r="AO62" s="3">
        <f t="shared" si="38"/>
        <v>0.51760301057380065</v>
      </c>
      <c r="AP62" s="3">
        <f t="shared" si="38"/>
        <v>0.61797133406835725</v>
      </c>
    </row>
    <row r="63" spans="1:45" x14ac:dyDescent="0.2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/>
      <c r="L63" s="20">
        <v>1</v>
      </c>
      <c r="M63" s="20">
        <v>1</v>
      </c>
      <c r="N63" s="2"/>
      <c r="O63" s="20"/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/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>
        <v>1</v>
      </c>
      <c r="AI63" s="20"/>
      <c r="AJ63" s="19">
        <f>SUM(C63:AI63)</f>
        <v>22</v>
      </c>
      <c r="AK63" s="20">
        <f>+AB63+Q63+V63+AC63+AE63+AF63+S63</f>
        <v>6</v>
      </c>
      <c r="AL63" s="20">
        <f>+D63+F63+H63+I63+J63+M63+N63+P63+R63+X63+E63+AH63+W63</f>
        <v>9</v>
      </c>
      <c r="AM63">
        <f>+C63+G63+O63+Y63+AD63+AI63+AG63+K63+L63+U63+T63+Z63+AA63</f>
        <v>7</v>
      </c>
      <c r="AN63" s="20">
        <f>+F63+H63+M63+P63+U63+X63+AI63</f>
        <v>5</v>
      </c>
      <c r="AO63" s="20">
        <f>+B63+C63+D63+I63+J63+K63+L63+N63+O63+Q63+R63+V63+Y63+AB63+AC63+AD63+AE63+AF63+AG63+S63+E63+AH63+W63</f>
        <v>15</v>
      </c>
      <c r="AP63">
        <f>+AA63+Z63+T63+G63</f>
        <v>2</v>
      </c>
    </row>
    <row r="64" spans="1:45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19"/>
      <c r="AK64" s="20"/>
      <c r="AL64" s="20"/>
      <c r="AM64" s="20"/>
      <c r="AN64" s="20"/>
      <c r="AO64" s="20"/>
      <c r="AP64" s="20"/>
    </row>
    <row r="65" spans="1:43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J65" s="5"/>
    </row>
    <row r="66" spans="1:43" x14ac:dyDescent="0.2">
      <c r="A66" t="s">
        <v>1</v>
      </c>
      <c r="C66">
        <v>1590</v>
      </c>
      <c r="F66">
        <v>3270</v>
      </c>
      <c r="G66">
        <v>391</v>
      </c>
      <c r="H66">
        <v>2640</v>
      </c>
      <c r="I66">
        <v>1710</v>
      </c>
      <c r="J66">
        <v>1140</v>
      </c>
      <c r="M66">
        <v>2160</v>
      </c>
      <c r="N66" s="2"/>
      <c r="O66">
        <v>510</v>
      </c>
      <c r="P66">
        <v>2940</v>
      </c>
      <c r="R66">
        <v>3330</v>
      </c>
      <c r="S66">
        <v>6300</v>
      </c>
      <c r="T66">
        <v>1426</v>
      </c>
      <c r="U66">
        <v>600</v>
      </c>
      <c r="V66">
        <v>13920</v>
      </c>
      <c r="W66">
        <v>4620</v>
      </c>
      <c r="Y66">
        <v>750</v>
      </c>
      <c r="AB66">
        <v>5400</v>
      </c>
      <c r="AC66">
        <v>9932</v>
      </c>
      <c r="AD66">
        <v>390</v>
      </c>
      <c r="AE66">
        <v>4620</v>
      </c>
      <c r="AF66">
        <v>3720</v>
      </c>
      <c r="AG66">
        <v>1514</v>
      </c>
      <c r="AH66">
        <v>4980</v>
      </c>
      <c r="AJ66" s="5">
        <f>SUM(C66:AH66)</f>
        <v>77853</v>
      </c>
      <c r="AK66">
        <f>+AB66+Q66+V66+AC66+AE66+AF66+S66</f>
        <v>43892</v>
      </c>
      <c r="AL66" s="20">
        <f>+D66+F66+H66+I66+J66+M66+N66+P66+R66+X66+E66+AH66+W66</f>
        <v>26790</v>
      </c>
      <c r="AM66">
        <f>+C66+G66+O66+Y66+AD66+AI66+AG66+K66+L66+U66+T66+Z66+AA66</f>
        <v>7171</v>
      </c>
      <c r="AN66">
        <f>+F66+H66+M66+P66+U66+X66+AI66</f>
        <v>11610</v>
      </c>
      <c r="AO66" s="20">
        <f>+B66+C66+D66+I66+J66+K66+L66+N66+O66+Q66+R66+V66+Y66+AB66+AC66+AD66+AE66+AF66+AG66+S66+E66+AH66+W66</f>
        <v>64426</v>
      </c>
      <c r="AP66">
        <f>+AA66+Z66+T66+G66</f>
        <v>1817</v>
      </c>
      <c r="AQ66">
        <f>+AK66+AL66+AM66</f>
        <v>77853</v>
      </c>
    </row>
    <row r="67" spans="1:43" x14ac:dyDescent="0.2">
      <c r="A67" t="s">
        <v>2</v>
      </c>
      <c r="C67">
        <v>606</v>
      </c>
      <c r="F67">
        <v>2090</v>
      </c>
      <c r="G67">
        <v>173</v>
      </c>
      <c r="H67">
        <f>+H66*0.586</f>
        <v>1547.04</v>
      </c>
      <c r="I67">
        <f>+I66*0.84</f>
        <v>1436.3999999999999</v>
      </c>
      <c r="J67">
        <f>+J66*0.77</f>
        <v>877.80000000000007</v>
      </c>
      <c r="M67">
        <v>1051</v>
      </c>
      <c r="N67" s="2"/>
      <c r="O67">
        <v>300</v>
      </c>
      <c r="P67">
        <v>2373</v>
      </c>
      <c r="R67">
        <f>+R66*0.394</f>
        <v>1312.02</v>
      </c>
      <c r="S67">
        <f>+S66*0.49</f>
        <v>3087</v>
      </c>
      <c r="T67">
        <f>+T66*0.536</f>
        <v>764.33600000000001</v>
      </c>
      <c r="U67">
        <v>420</v>
      </c>
      <c r="V67">
        <v>6153</v>
      </c>
      <c r="W67">
        <f>+W66*0.43</f>
        <v>1986.6</v>
      </c>
      <c r="Y67">
        <v>68</v>
      </c>
      <c r="AB67">
        <f>+AB66*0.825</f>
        <v>4455</v>
      </c>
      <c r="AC67">
        <v>8816</v>
      </c>
      <c r="AD67">
        <v>260</v>
      </c>
      <c r="AE67">
        <v>3327</v>
      </c>
      <c r="AF67">
        <v>2790</v>
      </c>
      <c r="AG67">
        <v>1438</v>
      </c>
      <c r="AH67">
        <v>4334</v>
      </c>
      <c r="AJ67" s="5">
        <f>SUM(C67:AI67)</f>
        <v>49665.195999999996</v>
      </c>
      <c r="AK67">
        <f>+AB67+Q67+V67+AC67+AE67+AF67+S67</f>
        <v>28628</v>
      </c>
      <c r="AL67" s="20">
        <f>+D67+F67+H67+I67+J67+M67+N67+P67+R67+X67+E67+AH67+W67</f>
        <v>17007.86</v>
      </c>
      <c r="AM67">
        <f>+C67+G67+O67+Y67+AD67+AI67+AG67+K67+L67+U67+T67+Z67+AA67</f>
        <v>4029.3360000000002</v>
      </c>
      <c r="AN67">
        <f>+F67+H67+M67+P67+U67+X67+AI67</f>
        <v>7481.04</v>
      </c>
      <c r="AO67" s="20">
        <f>+B67+C67+D67+I67+J67+K67+L67+N67+O67+Q67+R67+V67+Y67+AB67+AC67+AD67+AE67+AF67+AG67+S67+E67+AH67+W67</f>
        <v>41246.82</v>
      </c>
      <c r="AP67">
        <f>+AA67+Z67+T67+G67</f>
        <v>937.33600000000001</v>
      </c>
      <c r="AQ67">
        <f>+AK67+AL67+AM67</f>
        <v>49665.196000000004</v>
      </c>
    </row>
    <row r="68" spans="1:43" x14ac:dyDescent="0.2">
      <c r="A68" t="s">
        <v>4</v>
      </c>
      <c r="C68" s="3">
        <f>+C67/C66</f>
        <v>0.38113207547169814</v>
      </c>
      <c r="D68" s="3"/>
      <c r="E68" s="3" t="e">
        <f t="shared" ref="E68:J68" si="39">+E67/E66</f>
        <v>#DIV/0!</v>
      </c>
      <c r="F68" s="3">
        <f t="shared" si="39"/>
        <v>0.63914373088685017</v>
      </c>
      <c r="G68" s="3">
        <f t="shared" si="39"/>
        <v>0.44245524296675193</v>
      </c>
      <c r="H68" s="3">
        <f t="shared" si="39"/>
        <v>0.58599999999999997</v>
      </c>
      <c r="I68" s="3">
        <f t="shared" si="39"/>
        <v>0.84</v>
      </c>
      <c r="J68" s="3">
        <f t="shared" si="39"/>
        <v>0.77</v>
      </c>
      <c r="K68" s="3"/>
      <c r="L68" s="3" t="e">
        <f>+L67/L66</f>
        <v>#DIV/0!</v>
      </c>
      <c r="M68" s="3">
        <f>+M67/M66</f>
        <v>0.48657407407407405</v>
      </c>
      <c r="N68" s="2"/>
      <c r="O68" s="3">
        <f t="shared" ref="O68:Y68" si="40">+O67/O66</f>
        <v>0.58823529411764708</v>
      </c>
      <c r="P68" s="3">
        <f t="shared" si="40"/>
        <v>0.80714285714285716</v>
      </c>
      <c r="Q68" s="3" t="e">
        <f t="shared" si="40"/>
        <v>#DIV/0!</v>
      </c>
      <c r="R68" s="3">
        <f t="shared" si="40"/>
        <v>0.39400000000000002</v>
      </c>
      <c r="S68" s="3">
        <f t="shared" si="40"/>
        <v>0.49</v>
      </c>
      <c r="T68" s="3">
        <f t="shared" si="40"/>
        <v>0.53600000000000003</v>
      </c>
      <c r="U68" s="3">
        <f t="shared" si="40"/>
        <v>0.7</v>
      </c>
      <c r="V68" s="3">
        <f t="shared" si="40"/>
        <v>0.44202586206896549</v>
      </c>
      <c r="W68" s="3">
        <f t="shared" si="40"/>
        <v>0.43</v>
      </c>
      <c r="X68" s="3" t="e">
        <f t="shared" si="40"/>
        <v>#DIV/0!</v>
      </c>
      <c r="Y68" s="3">
        <f t="shared" si="40"/>
        <v>9.0666666666666673E-2</v>
      </c>
      <c r="Z68" s="3"/>
      <c r="AA68" s="3">
        <v>0</v>
      </c>
      <c r="AB68" s="3">
        <f t="shared" ref="AB68:AJ68" si="41">+AB67/AB66</f>
        <v>0.82499999999999996</v>
      </c>
      <c r="AC68" s="3">
        <f t="shared" si="41"/>
        <v>0.88763592428513893</v>
      </c>
      <c r="AD68" s="3">
        <f t="shared" si="41"/>
        <v>0.66666666666666663</v>
      </c>
      <c r="AE68" s="3">
        <f t="shared" si="41"/>
        <v>0.72012987012987018</v>
      </c>
      <c r="AF68" s="3">
        <f t="shared" si="41"/>
        <v>0.75</v>
      </c>
      <c r="AG68" s="3">
        <f t="shared" si="41"/>
        <v>0.94980184940554824</v>
      </c>
      <c r="AH68" s="3">
        <f t="shared" si="41"/>
        <v>0.870281124497992</v>
      </c>
      <c r="AI68" s="3" t="e">
        <f t="shared" si="41"/>
        <v>#DIV/0!</v>
      </c>
      <c r="AJ68" s="6">
        <f t="shared" si="41"/>
        <v>0.63793554519414786</v>
      </c>
      <c r="AK68" s="3">
        <f t="shared" ref="AK68:AP68" si="42">+AK67/AK66</f>
        <v>0.65223730976032079</v>
      </c>
      <c r="AL68" s="3">
        <f t="shared" si="42"/>
        <v>0.63485852930197839</v>
      </c>
      <c r="AM68" s="3">
        <f t="shared" si="42"/>
        <v>0.56189318086738249</v>
      </c>
      <c r="AN68" s="3">
        <f t="shared" si="42"/>
        <v>0.64436175710594312</v>
      </c>
      <c r="AO68" s="3">
        <f t="shared" si="42"/>
        <v>0.64022009747617425</v>
      </c>
      <c r="AP68" s="3">
        <f t="shared" si="42"/>
        <v>0.51587011557512386</v>
      </c>
    </row>
    <row r="69" spans="1:43" x14ac:dyDescent="0.2">
      <c r="A69" s="20"/>
      <c r="B69" s="20"/>
      <c r="C69" s="20">
        <v>1</v>
      </c>
      <c r="D69" s="20"/>
      <c r="E69" s="20"/>
      <c r="F69" s="20">
        <v>1</v>
      </c>
      <c r="G69" s="20">
        <v>1</v>
      </c>
      <c r="H69" s="20">
        <v>1</v>
      </c>
      <c r="I69" s="20">
        <v>1</v>
      </c>
      <c r="J69" s="20">
        <v>1</v>
      </c>
      <c r="K69" s="20"/>
      <c r="L69" s="20"/>
      <c r="M69" s="20">
        <v>1</v>
      </c>
      <c r="N69" s="2"/>
      <c r="O69" s="20">
        <v>1</v>
      </c>
      <c r="P69" s="20">
        <v>1</v>
      </c>
      <c r="Q69" s="20"/>
      <c r="R69" s="20">
        <v>1</v>
      </c>
      <c r="S69" s="20">
        <v>1</v>
      </c>
      <c r="T69" s="20">
        <v>1</v>
      </c>
      <c r="U69" s="20">
        <v>1</v>
      </c>
      <c r="V69" s="20">
        <v>1</v>
      </c>
      <c r="W69" s="20">
        <v>1</v>
      </c>
      <c r="X69" s="20"/>
      <c r="Y69" s="20">
        <v>1</v>
      </c>
      <c r="Z69" s="20"/>
      <c r="AA69" s="20"/>
      <c r="AB69" s="20">
        <v>1</v>
      </c>
      <c r="AC69" s="20">
        <v>1</v>
      </c>
      <c r="AD69" s="20">
        <v>1</v>
      </c>
      <c r="AE69" s="20">
        <v>1</v>
      </c>
      <c r="AF69" s="20">
        <v>1</v>
      </c>
      <c r="AG69" s="20">
        <v>1</v>
      </c>
      <c r="AH69" s="20">
        <v>1</v>
      </c>
      <c r="AI69" s="20"/>
      <c r="AJ69" s="19">
        <f>SUM(C69:AI69)</f>
        <v>23</v>
      </c>
      <c r="AK69" s="20">
        <f>+AB69+Q69+V69+AC69+AE69+AF69+S69</f>
        <v>6</v>
      </c>
      <c r="AL69" s="20">
        <f>+D69+F69+H69+I69+J69+M69+N69+P69+R69+X69+E69+AH69+W69</f>
        <v>9</v>
      </c>
      <c r="AM69">
        <f>+C69+G69+O69+Y69+AD69+AI69+AG69+K69+L69+U69+T69+Z69+AA69</f>
        <v>8</v>
      </c>
      <c r="AN69" s="20">
        <f>+F69+H69+M69+P69+U69+X69+AI69</f>
        <v>5</v>
      </c>
      <c r="AO69" s="20">
        <f>+B69+C69+D69+I69+J69+K69+L69+N69+O69+Q69+R69+V69+Y69+AB69+AC69+AD69+AE69+AF69+AG69+S69+E69+AH69+W69</f>
        <v>16</v>
      </c>
      <c r="AP69">
        <f>+AA69+Z69+T69+G69</f>
        <v>2</v>
      </c>
    </row>
    <row r="70" spans="1:43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19"/>
      <c r="AK70" s="20"/>
      <c r="AL70" s="20"/>
      <c r="AM70" s="20"/>
      <c r="AN70" s="20"/>
      <c r="AO70" s="20"/>
      <c r="AP70" s="20"/>
    </row>
    <row r="71" spans="1:43" x14ac:dyDescent="0.2">
      <c r="A71" s="2" t="s">
        <v>42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"/>
      <c r="Z71" s="1"/>
      <c r="AA71" s="1"/>
      <c r="AB71" s="1"/>
      <c r="AC71" s="1"/>
      <c r="AD71" s="1"/>
      <c r="AE71" s="1"/>
      <c r="AF71" s="1"/>
      <c r="AJ71" s="5"/>
    </row>
    <row r="72" spans="1:43" x14ac:dyDescent="0.2">
      <c r="A72" t="s">
        <v>1</v>
      </c>
      <c r="C72">
        <v>1679</v>
      </c>
      <c r="F72">
        <v>3379</v>
      </c>
      <c r="G72">
        <v>493</v>
      </c>
      <c r="H72">
        <f>2640/30*31</f>
        <v>2728</v>
      </c>
      <c r="I72">
        <v>1767</v>
      </c>
      <c r="J72">
        <v>1178</v>
      </c>
      <c r="M72">
        <v>2232</v>
      </c>
      <c r="N72" s="2"/>
      <c r="O72">
        <v>775</v>
      </c>
      <c r="P72">
        <v>3038</v>
      </c>
      <c r="R72">
        <v>3441</v>
      </c>
      <c r="S72">
        <v>6510</v>
      </c>
      <c r="T72">
        <v>1380</v>
      </c>
      <c r="U72">
        <v>625</v>
      </c>
      <c r="V72">
        <v>14384</v>
      </c>
      <c r="W72">
        <f>4620/30*31</f>
        <v>4774</v>
      </c>
      <c r="Y72">
        <v>775</v>
      </c>
      <c r="AB72">
        <v>5580</v>
      </c>
      <c r="AC72">
        <v>12183</v>
      </c>
      <c r="AD72">
        <v>403</v>
      </c>
      <c r="AE72">
        <v>4774</v>
      </c>
      <c r="AF72">
        <f>3720/30*31</f>
        <v>3844</v>
      </c>
      <c r="AG72">
        <v>1567</v>
      </c>
      <c r="AH72">
        <v>5146</v>
      </c>
      <c r="AJ72" s="5">
        <f>SUM(C72:AH72)</f>
        <v>82655</v>
      </c>
      <c r="AK72">
        <f>+AB72+Q72+V72+AC72+AE72+AF72+S72</f>
        <v>47275</v>
      </c>
      <c r="AL72" s="20">
        <f>+D72+F72+H72+I72+J72+M72+N72+P72+R72+X72+E72+AH72+W72</f>
        <v>27683</v>
      </c>
      <c r="AM72">
        <f>+C72+G72+O72+Y72+AD72+AI72+AG72+K72+L72+U72+T72+Z72+AA72</f>
        <v>7697</v>
      </c>
      <c r="AN72">
        <f>+F72+H72+M72+P72+U72+X72+AI72</f>
        <v>12002</v>
      </c>
      <c r="AO72" s="20">
        <f>+B72+C72+D72+I72+J72+K72+L72+N72+O72+Q72+R72+V72+Y72+AB72+AC72+AD72+AE72+AF72+AG72+S72+E72+AH72+W72</f>
        <v>68780</v>
      </c>
      <c r="AP72">
        <f>+AA72+Z72+T72+G72</f>
        <v>1873</v>
      </c>
      <c r="AQ72">
        <f>+AK72+AL72+AM72</f>
        <v>82655</v>
      </c>
    </row>
    <row r="73" spans="1:43" x14ac:dyDescent="0.2">
      <c r="A73" t="s">
        <v>2</v>
      </c>
      <c r="C73">
        <v>479</v>
      </c>
      <c r="F73">
        <f>+F72*0.62</f>
        <v>2094.98</v>
      </c>
      <c r="G73">
        <v>218</v>
      </c>
      <c r="H73">
        <f>+H72*0.73</f>
        <v>1991.44</v>
      </c>
      <c r="I73">
        <f>+I72*0.78</f>
        <v>1378.26</v>
      </c>
      <c r="J73">
        <v>766</v>
      </c>
      <c r="M73">
        <v>1448</v>
      </c>
      <c r="N73" s="2"/>
      <c r="O73">
        <v>620</v>
      </c>
      <c r="P73">
        <v>2197</v>
      </c>
      <c r="R73">
        <f>+R72*0.47</f>
        <v>1617.27</v>
      </c>
      <c r="S73">
        <f>+S72*0.315</f>
        <v>2050.65</v>
      </c>
      <c r="T73">
        <f>+T72*0.365</f>
        <v>503.7</v>
      </c>
      <c r="U73">
        <f>+U72*0.85</f>
        <v>531.25</v>
      </c>
      <c r="V73">
        <v>5873</v>
      </c>
      <c r="W73">
        <f>+W72*0.45</f>
        <v>2148.3000000000002</v>
      </c>
      <c r="Y73">
        <v>51</v>
      </c>
      <c r="AB73">
        <f>+AB72*0.54</f>
        <v>3013.2000000000003</v>
      </c>
      <c r="AC73">
        <v>9886</v>
      </c>
      <c r="AD73">
        <v>274</v>
      </c>
      <c r="AE73">
        <v>3147</v>
      </c>
      <c r="AF73">
        <f>+AF72*0.89</f>
        <v>3421.16</v>
      </c>
      <c r="AG73">
        <v>1384</v>
      </c>
      <c r="AH73">
        <v>2905</v>
      </c>
      <c r="AJ73" s="5">
        <f>SUM(C73:AI73)</f>
        <v>47998.210000000006</v>
      </c>
      <c r="AK73">
        <f>+AB73+Q73+V73+AC73+AE73+AF73+S73</f>
        <v>27391.010000000002</v>
      </c>
      <c r="AL73" s="20">
        <f>+D73+F73+H73+I73+J73+M73+N73+P73+R73+X73+E73+AH73+W73</f>
        <v>16546.25</v>
      </c>
      <c r="AM73">
        <f>+C73+G73+O73+Y73+AD73+AI73+AG73+K73+L73+U73+T73+Z73+AA73</f>
        <v>4060.95</v>
      </c>
      <c r="AN73">
        <f>+F73+H73+M73+P73+U73+X73+AI73</f>
        <v>8262.67</v>
      </c>
      <c r="AO73" s="20">
        <f>+B73+C73+D73+I73+J73+K73+L73+N73+O73+Q73+R73+V73+Y73+AB73+AC73+AD73+AE73+AF73+AG73+S73+E73+AH73+W73</f>
        <v>39013.840000000004</v>
      </c>
      <c r="AP73">
        <f>+AA73+Z73+T73+G73</f>
        <v>721.7</v>
      </c>
      <c r="AQ73">
        <f>+AK73+AL73+AM73</f>
        <v>47998.21</v>
      </c>
    </row>
    <row r="74" spans="1:43" x14ac:dyDescent="0.2">
      <c r="A74" t="s">
        <v>4</v>
      </c>
      <c r="C74" s="3">
        <f>+C73/C72</f>
        <v>0.28528886241810603</v>
      </c>
      <c r="D74" s="3"/>
      <c r="E74" s="3" t="e">
        <f t="shared" ref="E74:J74" si="43">+E73/E72</f>
        <v>#DIV/0!</v>
      </c>
      <c r="F74" s="3">
        <f t="shared" si="43"/>
        <v>0.62</v>
      </c>
      <c r="G74" s="3">
        <f t="shared" si="43"/>
        <v>0.44219066937119678</v>
      </c>
      <c r="H74" s="3">
        <f t="shared" si="43"/>
        <v>0.73</v>
      </c>
      <c r="I74" s="3">
        <f t="shared" si="43"/>
        <v>0.78</v>
      </c>
      <c r="J74" s="3">
        <f t="shared" si="43"/>
        <v>0.65025466893039052</v>
      </c>
      <c r="K74" s="3"/>
      <c r="L74" s="3" t="e">
        <f t="shared" ref="L74:Y74" si="44">+L73/L72</f>
        <v>#DIV/0!</v>
      </c>
      <c r="M74" s="3">
        <f t="shared" si="44"/>
        <v>0.64874551971326166</v>
      </c>
      <c r="N74" s="2"/>
      <c r="O74" s="3">
        <f t="shared" si="44"/>
        <v>0.8</v>
      </c>
      <c r="P74" s="3">
        <f t="shared" si="44"/>
        <v>0.7231731402238315</v>
      </c>
      <c r="Q74" s="3" t="e">
        <f t="shared" si="44"/>
        <v>#DIV/0!</v>
      </c>
      <c r="R74" s="3">
        <f t="shared" si="44"/>
        <v>0.47</v>
      </c>
      <c r="S74" s="3">
        <f t="shared" si="44"/>
        <v>0.315</v>
      </c>
      <c r="T74" s="3">
        <f t="shared" si="44"/>
        <v>0.36499999999999999</v>
      </c>
      <c r="U74" s="3">
        <f t="shared" si="44"/>
        <v>0.85</v>
      </c>
      <c r="V74" s="3">
        <f>+V73/V72</f>
        <v>0.40830088987764185</v>
      </c>
      <c r="W74" s="3">
        <f>+W73/W72</f>
        <v>0.45</v>
      </c>
      <c r="X74" s="3" t="e">
        <f t="shared" si="44"/>
        <v>#DIV/0!</v>
      </c>
      <c r="Y74" s="3">
        <f t="shared" si="44"/>
        <v>6.580645161290323E-2</v>
      </c>
      <c r="Z74" s="3"/>
      <c r="AA74" s="3">
        <v>0</v>
      </c>
      <c r="AB74" s="3">
        <f t="shared" ref="AB74:AI74" si="45">+AB73/AB72</f>
        <v>0.54</v>
      </c>
      <c r="AC74" s="3">
        <f t="shared" si="45"/>
        <v>0.81145858983829922</v>
      </c>
      <c r="AD74" s="3">
        <f t="shared" si="45"/>
        <v>0.67990074441687343</v>
      </c>
      <c r="AE74" s="3">
        <f t="shared" si="45"/>
        <v>0.65919564306661083</v>
      </c>
      <c r="AF74" s="3">
        <f t="shared" si="45"/>
        <v>0.89</v>
      </c>
      <c r="AG74" s="3">
        <f t="shared" si="45"/>
        <v>0.88321633694958523</v>
      </c>
      <c r="AH74" s="3">
        <f t="shared" si="45"/>
        <v>0.56451612903225812</v>
      </c>
      <c r="AI74" s="3" t="e">
        <f t="shared" si="45"/>
        <v>#DIV/0!</v>
      </c>
      <c r="AJ74" s="6">
        <f t="shared" ref="AJ74:AP74" si="46">+AJ73/AJ72</f>
        <v>0.58070546246446075</v>
      </c>
      <c r="AK74" s="3">
        <f t="shared" si="46"/>
        <v>0.57939735589635122</v>
      </c>
      <c r="AL74" s="3">
        <f t="shared" si="46"/>
        <v>0.59770436730123178</v>
      </c>
      <c r="AM74" s="3">
        <f t="shared" si="46"/>
        <v>0.52760166298557876</v>
      </c>
      <c r="AN74" s="3">
        <f t="shared" si="46"/>
        <v>0.68844109315114144</v>
      </c>
      <c r="AO74" s="3">
        <f t="shared" si="46"/>
        <v>0.56722651933701662</v>
      </c>
      <c r="AP74" s="3">
        <f t="shared" si="46"/>
        <v>0.38531767218366259</v>
      </c>
    </row>
    <row r="75" spans="1:43" x14ac:dyDescent="0.2">
      <c r="A75" s="20"/>
      <c r="B75" s="20"/>
      <c r="C75" s="20">
        <v>1</v>
      </c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/>
      <c r="L75" s="20"/>
      <c r="M75" s="20">
        <v>1</v>
      </c>
      <c r="N75" s="2"/>
      <c r="O75" s="20">
        <v>1</v>
      </c>
      <c r="P75" s="20">
        <v>1</v>
      </c>
      <c r="Q75" s="20"/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/>
      <c r="Y75" s="20">
        <v>1</v>
      </c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20"/>
      <c r="AJ75" s="19">
        <f>SUM(C75:AI75)</f>
        <v>23</v>
      </c>
      <c r="AK75" s="20">
        <f>+AB75+Q75+V75+AC75+AE75+AF75+S75</f>
        <v>6</v>
      </c>
      <c r="AL75" s="20">
        <f>+D75+F75+H75+I75+J75+M75+N75+P75+R75+X75+E75+AH75+W75</f>
        <v>9</v>
      </c>
      <c r="AM75">
        <f>+C75+G75+O75+Y75+AD75+AI75+AG75+K75+L75+U75+T75+Z75+AA75</f>
        <v>8</v>
      </c>
      <c r="AN75" s="20">
        <f>+F75+H75+M75+P75+U75+X75+AI75</f>
        <v>5</v>
      </c>
      <c r="AO75" s="20">
        <f>+B75+C75+D75+I75+J75+K75+L75+N75+O75+Q75+R75+V75+Y75+AB75+AC75+AD75+AE75+AF75+AG75+S75+E75+AH75+W75</f>
        <v>16</v>
      </c>
      <c r="AP75">
        <f>+AA75+Z75+T75+G75</f>
        <v>2</v>
      </c>
    </row>
    <row r="76" spans="1:43" x14ac:dyDescent="0.2">
      <c r="A76" t="s">
        <v>61</v>
      </c>
      <c r="N76" s="2"/>
      <c r="AJ76">
        <f>+AJ6+AJ12+AJ18+AJ24+AJ30+AJ36+AJ42+AJ48+AJ54+AJ60+AJ66+AJ72</f>
        <v>919711.03225806449</v>
      </c>
      <c r="AK76" t="e">
        <f>+#REF!+#REF!+AK6+AK12+AK18+AK24+AK30+AK36+AK42+AK48+AK54+AK60+AK66+AK72</f>
        <v>#REF!</v>
      </c>
      <c r="AL76" t="e">
        <f>+#REF!+#REF!+AL6+AL12+AL18+AL24+AL30+AL36+AL42+AL48+AL54+AL60+AL66+AL72</f>
        <v>#REF!</v>
      </c>
      <c r="AM76" t="e">
        <f>+#REF!+#REF!+AM6+AM12+AM18+AM24+AM30+AM36+AM42+AM48+AM54+AM60+AM66+AM72</f>
        <v>#REF!</v>
      </c>
      <c r="AN76" t="e">
        <f>+#REF!+#REF!+AN6+AN12+AN18+AN24+AN30+AN36+AN42+AN48+AN54+AN60+AN66+AN72</f>
        <v>#REF!</v>
      </c>
      <c r="AO76" t="e">
        <f>+#REF!+#REF!+AO6+AO12+AO18+AO24+AO30+AO36+AO42+AO48+AO54+AO60+AO66+AO72</f>
        <v>#REF!</v>
      </c>
      <c r="AP76" t="e">
        <f>+#REF!+#REF!+AP6+AP12+AP18+AP24+AP30+AP36+AP42+AP48+AP54+AP60+AP66+AP72</f>
        <v>#REF!</v>
      </c>
    </row>
    <row r="77" spans="1:43" x14ac:dyDescent="0.2">
      <c r="AJ77">
        <f>+AJ7+AJ13+AJ19+AJ25+AJ31+AJ37+AJ43+AJ49+AJ55+AJ61+AJ67+AJ73</f>
        <v>580505.65539999993</v>
      </c>
      <c r="AK77" t="e">
        <f>+#REF!+#REF!+AK7+AK13+AK19+AK25+AK31+AK37+AK43+AK49+AK55+AK61+AK67+AK73</f>
        <v>#REF!</v>
      </c>
      <c r="AL77" t="e">
        <f>+#REF!+#REF!+AL7+AL13+AL19+AL25+AL31+AL37+AL43+AL49+AL55+AL61+AL67+AL73</f>
        <v>#REF!</v>
      </c>
      <c r="AM77" t="e">
        <f>+#REF!+#REF!+AM7+AM13+AM19+AM25+AM31+AM37+AM43+AM49+AM55+AM61+AM67+AM73</f>
        <v>#REF!</v>
      </c>
      <c r="AN77" t="e">
        <f>+#REF!+#REF!+AN7+AN13+AN19+AN25+AN31+AN37+AN43+AN49+AN55+AN61+AN67+AN73</f>
        <v>#REF!</v>
      </c>
      <c r="AO77" t="e">
        <f>+#REF!+#REF!+AO7+AO13+AO19+AO25+AO31+AO37+AO43+AO49+AO55+AO61+AO67+AO73</f>
        <v>#REF!</v>
      </c>
      <c r="AP77" t="e">
        <f>+#REF!+#REF!+AP7+AP13+AP19+AP25+AP31+AP37+AP43+AP49+AP55+AP61+AP67+AP73</f>
        <v>#REF!</v>
      </c>
    </row>
    <row r="78" spans="1:43" x14ac:dyDescent="0.2">
      <c r="AE78" t="s">
        <v>15</v>
      </c>
      <c r="AJ78" s="6">
        <f t="shared" ref="AJ78:AP78" si="47">+AJ77/AJ76</f>
        <v>0.63118265959553488</v>
      </c>
      <c r="AK78" s="6" t="e">
        <f t="shared" si="47"/>
        <v>#REF!</v>
      </c>
      <c r="AL78" s="6" t="e">
        <f t="shared" si="47"/>
        <v>#REF!</v>
      </c>
      <c r="AM78" s="6" t="e">
        <f t="shared" si="47"/>
        <v>#REF!</v>
      </c>
      <c r="AN78" s="6" t="e">
        <f t="shared" si="47"/>
        <v>#REF!</v>
      </c>
      <c r="AO78" s="6" t="e">
        <f t="shared" si="47"/>
        <v>#REF!</v>
      </c>
      <c r="AP78" s="6" t="e">
        <f t="shared" si="47"/>
        <v>#REF!</v>
      </c>
    </row>
  </sheetData>
  <phoneticPr fontId="3" type="noConversion"/>
  <pageMargins left="0.74803149606299213" right="0.4" top="0.53" bottom="0.47" header="0.51181102362204722" footer="0.51181102362204722"/>
  <pageSetup scale="43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81"/>
  <sheetViews>
    <sheetView topLeftCell="A2" zoomScale="75" workbookViewId="0">
      <pane xSplit="1" ySplit="3" topLeftCell="B59" activePane="bottomRight" state="frozen"/>
      <selection activeCell="A2" sqref="A2"/>
      <selection pane="topRight" activeCell="B2" sqref="B2"/>
      <selection pane="bottomLeft" activeCell="A5" sqref="A5"/>
      <selection pane="bottomRight" activeCell="J77" sqref="J77"/>
    </sheetView>
  </sheetViews>
  <sheetFormatPr defaultRowHeight="12.75" x14ac:dyDescent="0.2"/>
  <cols>
    <col min="1" max="1" width="16" customWidth="1"/>
    <col min="2" max="2" width="7.5703125" customWidth="1"/>
    <col min="3" max="14" width="6.28515625" customWidth="1"/>
    <col min="15" max="15" width="6.5703125" customWidth="1"/>
    <col min="16" max="24" width="5.28515625" customWidth="1"/>
    <col min="25" max="28" width="5.7109375" customWidth="1"/>
    <col min="29" max="29" width="6.7109375" customWidth="1"/>
    <col min="30" max="30" width="5.140625" customWidth="1"/>
    <col min="31" max="31" width="6.28515625" customWidth="1"/>
    <col min="32" max="32" width="5.85546875" customWidth="1"/>
    <col min="33" max="34" width="6" customWidth="1"/>
    <col min="35" max="35" width="5.7109375" customWidth="1"/>
    <col min="36" max="36" width="7.85546875" customWidth="1"/>
    <col min="37" max="37" width="8.7109375" customWidth="1"/>
    <col min="38" max="38" width="6.7109375" customWidth="1"/>
    <col min="39" max="39" width="8.28515625" customWidth="1"/>
    <col min="40" max="40" width="8" customWidth="1"/>
    <col min="41" max="41" width="9.28515625" customWidth="1"/>
    <col min="42" max="42" width="7.85546875" customWidth="1"/>
  </cols>
  <sheetData>
    <row r="1" spans="1:45" x14ac:dyDescent="0.2">
      <c r="M1" t="s">
        <v>15</v>
      </c>
      <c r="T1" t="s">
        <v>15</v>
      </c>
      <c r="V1" t="s">
        <v>15</v>
      </c>
      <c r="X1" t="s">
        <v>15</v>
      </c>
    </row>
    <row r="2" spans="1:45" x14ac:dyDescent="0.2">
      <c r="A2" t="s">
        <v>36</v>
      </c>
      <c r="B2" s="10"/>
      <c r="C2" s="10"/>
      <c r="D2" s="11"/>
      <c r="E2" s="11"/>
      <c r="F2" s="10"/>
      <c r="G2" s="11"/>
      <c r="H2" s="10"/>
      <c r="I2" s="11"/>
      <c r="J2" s="11"/>
      <c r="K2" s="11"/>
      <c r="L2" s="10"/>
      <c r="M2" s="10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0"/>
      <c r="AH2" s="10"/>
      <c r="AI2" s="10"/>
    </row>
    <row r="3" spans="1:45" x14ac:dyDescent="0.2">
      <c r="A3" t="s">
        <v>37</v>
      </c>
      <c r="B3" s="14"/>
      <c r="C3" s="14"/>
      <c r="D3" s="14"/>
      <c r="E3" s="14"/>
      <c r="F3" s="13"/>
      <c r="G3" s="14"/>
      <c r="H3" s="15"/>
      <c r="I3" s="13"/>
      <c r="J3" s="14"/>
      <c r="K3" s="14"/>
      <c r="L3" s="14"/>
      <c r="M3" s="14"/>
      <c r="N3" s="13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3"/>
    </row>
    <row r="4" spans="1:45" ht="124.5" x14ac:dyDescent="0.2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69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41</v>
      </c>
      <c r="AG4" s="7" t="s">
        <v>5</v>
      </c>
      <c r="AH4" s="7" t="s">
        <v>68</v>
      </c>
      <c r="AI4" s="7" t="s">
        <v>11</v>
      </c>
      <c r="AJ4" s="4" t="s">
        <v>13</v>
      </c>
      <c r="AK4" s="1" t="s">
        <v>21</v>
      </c>
      <c r="AL4" s="1" t="s">
        <v>22</v>
      </c>
      <c r="AM4" s="1" t="s">
        <v>23</v>
      </c>
      <c r="AN4" s="1" t="s">
        <v>43</v>
      </c>
      <c r="AO4" s="1" t="s">
        <v>44</v>
      </c>
      <c r="AP4" s="1" t="s">
        <v>45</v>
      </c>
    </row>
    <row r="5" spans="1:45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J5" s="5"/>
    </row>
    <row r="6" spans="1:45" x14ac:dyDescent="0.2">
      <c r="A6" t="s">
        <v>1</v>
      </c>
      <c r="C6">
        <v>1643</v>
      </c>
      <c r="E6">
        <v>0</v>
      </c>
      <c r="F6">
        <v>3379</v>
      </c>
      <c r="H6">
        <v>434</v>
      </c>
      <c r="I6">
        <v>2728</v>
      </c>
      <c r="J6">
        <v>1767</v>
      </c>
      <c r="K6">
        <v>1178</v>
      </c>
      <c r="L6">
        <f>25*31</f>
        <v>775</v>
      </c>
      <c r="M6">
        <v>434</v>
      </c>
      <c r="N6">
        <v>2232</v>
      </c>
      <c r="O6">
        <v>806</v>
      </c>
      <c r="P6">
        <v>3038</v>
      </c>
      <c r="R6">
        <v>3441</v>
      </c>
      <c r="S6">
        <v>6510</v>
      </c>
      <c r="T6">
        <v>1426</v>
      </c>
      <c r="U6">
        <v>775</v>
      </c>
      <c r="V6">
        <v>14384</v>
      </c>
      <c r="W6">
        <v>1798</v>
      </c>
      <c r="X6">
        <v>0</v>
      </c>
      <c r="Y6">
        <v>775</v>
      </c>
      <c r="AB6">
        <v>5580</v>
      </c>
      <c r="AC6">
        <v>12183</v>
      </c>
      <c r="AD6">
        <v>403</v>
      </c>
      <c r="AE6">
        <v>4774</v>
      </c>
      <c r="AF6">
        <v>3844</v>
      </c>
      <c r="AG6">
        <v>1563</v>
      </c>
      <c r="AH6">
        <v>5394</v>
      </c>
      <c r="AI6">
        <v>1054</v>
      </c>
      <c r="AJ6" s="5">
        <f>SUM(C6:AI6)</f>
        <v>82318</v>
      </c>
      <c r="AK6">
        <f>+AB6+Q6+V6+AC6+AE6+AF6+S6</f>
        <v>47275</v>
      </c>
      <c r="AL6" s="20">
        <f>+C6+E6+I6+N6+P6+R6+X6+D6+AH6+W6</f>
        <v>20274</v>
      </c>
      <c r="AM6">
        <f>+B6+F6+O6+Y6+AD6+AI6+AG6+K6+L6+U6+T6+Z6+AA6+M6+J6+H6</f>
        <v>14769</v>
      </c>
      <c r="AN6">
        <f>+P6+U6+X6+AI6+N6+I6+F6</f>
        <v>13206</v>
      </c>
      <c r="AO6" s="20">
        <f>+B6+C6+J6+K6+L6+O6+Q6+R6+V6+Y6+AB6+AC6+AD6+AE6+AF6+AG6+S6+D6+AH6+W6+M6+E6+G6</f>
        <v>67252</v>
      </c>
      <c r="AP6">
        <f>+AA6+Z6+T6+H6</f>
        <v>1860</v>
      </c>
      <c r="AQ6">
        <f>+AK6+AL6+AM6</f>
        <v>82318</v>
      </c>
      <c r="AR6">
        <f>+AK6+AL6+AM6</f>
        <v>82318</v>
      </c>
      <c r="AS6">
        <f>+AP6+AO6+AN6</f>
        <v>82318</v>
      </c>
    </row>
    <row r="7" spans="1:45" x14ac:dyDescent="0.2">
      <c r="A7" t="s">
        <v>2</v>
      </c>
      <c r="C7">
        <v>684</v>
      </c>
      <c r="E7">
        <f>+E6*0.622</f>
        <v>0</v>
      </c>
      <c r="F7">
        <f>+F6*0.553</f>
        <v>1868.5870000000002</v>
      </c>
      <c r="H7">
        <v>259</v>
      </c>
      <c r="I7">
        <f>+I6*0.621</f>
        <v>1694.088</v>
      </c>
      <c r="J7">
        <f>+J6*0.91</f>
        <v>1607.97</v>
      </c>
      <c r="K7">
        <f>+K6*0.62</f>
        <v>730.36</v>
      </c>
      <c r="L7">
        <v>568</v>
      </c>
      <c r="M7">
        <v>116</v>
      </c>
      <c r="N7">
        <v>1385</v>
      </c>
      <c r="O7">
        <v>620</v>
      </c>
      <c r="P7">
        <v>2556</v>
      </c>
      <c r="R7">
        <f>+R6*0.584</f>
        <v>2009.5439999999999</v>
      </c>
      <c r="S7">
        <f>+S6*0.51</f>
        <v>3320.1</v>
      </c>
      <c r="T7">
        <v>860</v>
      </c>
      <c r="U7">
        <f>+U6*0.7</f>
        <v>542.5</v>
      </c>
      <c r="V7">
        <v>6738</v>
      </c>
      <c r="W7">
        <f>+W6*0.495</f>
        <v>890.01</v>
      </c>
      <c r="X7">
        <v>0</v>
      </c>
      <c r="Y7">
        <v>85</v>
      </c>
      <c r="AB7">
        <f>+AB6*0.3518</f>
        <v>1963.0440000000001</v>
      </c>
      <c r="AC7">
        <f>+AC6*0.9261</f>
        <v>11282.676300000001</v>
      </c>
      <c r="AD7">
        <v>272</v>
      </c>
      <c r="AE7">
        <v>3576</v>
      </c>
      <c r="AF7">
        <f>+AF6*0.882</f>
        <v>3390.4079999999999</v>
      </c>
      <c r="AG7">
        <v>1330</v>
      </c>
      <c r="AH7">
        <v>2793</v>
      </c>
      <c r="AI7">
        <f>+AI6*0.273</f>
        <v>287.74200000000002</v>
      </c>
      <c r="AJ7" s="5">
        <f>SUM(C7:AI7)</f>
        <v>51429.029300000002</v>
      </c>
      <c r="AK7">
        <f>+AB7+Q7+V7+AC7+AE7+AF7+S7</f>
        <v>30270.228299999999</v>
      </c>
      <c r="AL7" s="20">
        <f>+C7+E7+I7+N7+P7+R7+X7+D7+AH7+W7</f>
        <v>12011.642</v>
      </c>
      <c r="AM7">
        <f>+B7+F7+O7+Y7+AD7+AI7+AG7+K7+L7+U7+T7+Z7+AA7+M7+J7+H7</f>
        <v>9147.1589999999997</v>
      </c>
      <c r="AN7">
        <f>+P7+U7+X7+AI7+N7+I7+F7</f>
        <v>8333.9169999999995</v>
      </c>
      <c r="AO7" s="20">
        <f>+B7+C7+J7+K7+L7+O7+Q7+R7+V7+Y7+AB7+AC7+AD7+AE7+AF7+AG7+S7+D7+AH7+W7+M7+E7+G7</f>
        <v>41976.112300000001</v>
      </c>
      <c r="AP7">
        <f>+AA7+Z7+T7+H7</f>
        <v>1119</v>
      </c>
      <c r="AQ7">
        <f>+AK7+AL7+AM7</f>
        <v>51429.029299999995</v>
      </c>
    </row>
    <row r="8" spans="1:45" x14ac:dyDescent="0.2">
      <c r="A8" t="s">
        <v>4</v>
      </c>
      <c r="C8" s="3">
        <f>+C7/C6</f>
        <v>0.41631162507608033</v>
      </c>
      <c r="D8" s="3"/>
      <c r="E8" s="3">
        <v>0</v>
      </c>
      <c r="F8" s="3">
        <f t="shared" ref="F8:N8" si="0">+F7/F6</f>
        <v>0.55300000000000005</v>
      </c>
      <c r="G8" s="3"/>
      <c r="H8" s="3">
        <f t="shared" si="0"/>
        <v>0.59677419354838712</v>
      </c>
      <c r="I8" s="3">
        <f t="shared" si="0"/>
        <v>0.621</v>
      </c>
      <c r="J8" s="3">
        <f t="shared" si="0"/>
        <v>0.91</v>
      </c>
      <c r="K8" s="3">
        <f t="shared" si="0"/>
        <v>0.62</v>
      </c>
      <c r="L8" s="3">
        <f t="shared" si="0"/>
        <v>0.73290322580645162</v>
      </c>
      <c r="M8" s="3">
        <f t="shared" si="0"/>
        <v>0.26728110599078342</v>
      </c>
      <c r="N8" s="3">
        <f t="shared" si="0"/>
        <v>0.62051971326164879</v>
      </c>
      <c r="O8" s="3">
        <f t="shared" ref="O8:Y8" si="1">+O7/O6</f>
        <v>0.76923076923076927</v>
      </c>
      <c r="P8" s="3">
        <f t="shared" si="1"/>
        <v>0.84134298880842662</v>
      </c>
      <c r="Q8" s="3" t="e">
        <f t="shared" si="1"/>
        <v>#DIV/0!</v>
      </c>
      <c r="R8" s="3">
        <f t="shared" si="1"/>
        <v>0.58399999999999996</v>
      </c>
      <c r="S8" s="3">
        <f t="shared" si="1"/>
        <v>0.51</v>
      </c>
      <c r="T8" s="3">
        <f t="shared" si="1"/>
        <v>0.60308555399719499</v>
      </c>
      <c r="U8" s="3">
        <f t="shared" si="1"/>
        <v>0.7</v>
      </c>
      <c r="V8" s="3">
        <f t="shared" si="1"/>
        <v>0.46843715239154615</v>
      </c>
      <c r="W8" s="3">
        <f t="shared" si="1"/>
        <v>0.495</v>
      </c>
      <c r="X8" s="3">
        <v>0</v>
      </c>
      <c r="Y8" s="3">
        <f t="shared" si="1"/>
        <v>0.10967741935483871</v>
      </c>
      <c r="Z8" s="3"/>
      <c r="AA8" s="3"/>
      <c r="AB8" s="3">
        <f t="shared" ref="AB8:AP8" si="2">+AB7/AB6</f>
        <v>0.3518</v>
      </c>
      <c r="AC8" s="3">
        <f t="shared" si="2"/>
        <v>0.92610000000000003</v>
      </c>
      <c r="AD8" s="3">
        <f t="shared" si="2"/>
        <v>0.67493796526054595</v>
      </c>
      <c r="AE8" s="3">
        <f t="shared" si="2"/>
        <v>0.74905739421868456</v>
      </c>
      <c r="AF8" s="3">
        <f t="shared" si="2"/>
        <v>0.88200000000000001</v>
      </c>
      <c r="AG8" s="3">
        <f t="shared" si="2"/>
        <v>0.85092770313499677</v>
      </c>
      <c r="AH8" s="3">
        <f t="shared" si="2"/>
        <v>0.51779755283648499</v>
      </c>
      <c r="AI8" s="3">
        <f t="shared" si="2"/>
        <v>0.27300000000000002</v>
      </c>
      <c r="AJ8" s="6">
        <f t="shared" si="2"/>
        <v>0.62476043271216508</v>
      </c>
      <c r="AK8" s="3">
        <f t="shared" si="2"/>
        <v>0.64030096879957688</v>
      </c>
      <c r="AL8" s="3">
        <f t="shared" si="2"/>
        <v>0.592465325046858</v>
      </c>
      <c r="AM8" s="3">
        <f t="shared" si="2"/>
        <v>0.61934856794637416</v>
      </c>
      <c r="AN8" s="3">
        <f t="shared" si="2"/>
        <v>0.63107049825836736</v>
      </c>
      <c r="AO8" s="3">
        <f t="shared" si="2"/>
        <v>0.62416154612502228</v>
      </c>
      <c r="AP8" s="3">
        <f t="shared" si="2"/>
        <v>0.60161290322580641</v>
      </c>
    </row>
    <row r="9" spans="1:45" x14ac:dyDescent="0.2">
      <c r="A9" s="20"/>
      <c r="B9" s="20"/>
      <c r="C9" s="20">
        <v>1</v>
      </c>
      <c r="D9" s="20"/>
      <c r="E9" s="20"/>
      <c r="F9" s="20">
        <v>1</v>
      </c>
      <c r="G9" s="20"/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/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/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20">
        <v>1</v>
      </c>
      <c r="AJ9" s="19">
        <f>SUM(C9:AI9)</f>
        <v>26</v>
      </c>
      <c r="AK9" s="20">
        <f>+AB9+Q9+V9+AC9+AE9+AF9+S9</f>
        <v>6</v>
      </c>
      <c r="AL9" s="20">
        <f>+C9+E9+I9+N9+P9+R9+X9+D9+AH9+W9</f>
        <v>7</v>
      </c>
      <c r="AM9" s="20">
        <f>+B9+F9+O9+Y9+AD9+AI9+AG9+K9+L9+U9+T9+Z9+AA9+M9+J9+H9</f>
        <v>13</v>
      </c>
      <c r="AN9" s="20">
        <f>+P9+U9+X9+AI9+N9+I9+F9</f>
        <v>6</v>
      </c>
      <c r="AO9" s="20">
        <f>+B9+C9+J9+K9+L9+O9+Q9+R9+V9+Y9+AB9+AC9+AD9+AE9+AF9+AG9+S9+D9+AH9+W9+M9+E9+G9</f>
        <v>18</v>
      </c>
      <c r="AP9" s="20">
        <f>+AA9+Z9+T9+H9</f>
        <v>2</v>
      </c>
    </row>
    <row r="10" spans="1:45" x14ac:dyDescent="0.2">
      <c r="AA10" t="s">
        <v>15</v>
      </c>
    </row>
    <row r="11" spans="1:45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J11" s="5"/>
    </row>
    <row r="12" spans="1:45" x14ac:dyDescent="0.2">
      <c r="A12" t="s">
        <v>1</v>
      </c>
      <c r="C12">
        <v>1484</v>
      </c>
      <c r="E12">
        <v>0</v>
      </c>
      <c r="F12">
        <v>3052</v>
      </c>
      <c r="G12">
        <f>17*28</f>
        <v>476</v>
      </c>
      <c r="H12">
        <v>470</v>
      </c>
      <c r="I12">
        <v>2464</v>
      </c>
      <c r="J12">
        <v>1596</v>
      </c>
      <c r="K12">
        <v>1064</v>
      </c>
      <c r="L12">
        <v>700</v>
      </c>
      <c r="M12">
        <v>392</v>
      </c>
      <c r="N12">
        <v>2016</v>
      </c>
      <c r="O12">
        <v>728</v>
      </c>
      <c r="P12">
        <v>2744</v>
      </c>
      <c r="R12">
        <v>3108</v>
      </c>
      <c r="S12">
        <v>5880</v>
      </c>
      <c r="T12">
        <v>1288</v>
      </c>
      <c r="U12">
        <v>700</v>
      </c>
      <c r="V12">
        <v>12992</v>
      </c>
      <c r="W12">
        <v>1624</v>
      </c>
      <c r="X12">
        <v>0</v>
      </c>
      <c r="Y12">
        <v>700</v>
      </c>
      <c r="AB12">
        <v>5040</v>
      </c>
      <c r="AC12">
        <v>11004</v>
      </c>
      <c r="AD12">
        <f>13*28</f>
        <v>364</v>
      </c>
      <c r="AE12">
        <v>4312</v>
      </c>
      <c r="AF12">
        <v>3472</v>
      </c>
      <c r="AG12">
        <v>1418</v>
      </c>
      <c r="AH12">
        <v>4872</v>
      </c>
      <c r="AI12">
        <v>952</v>
      </c>
      <c r="AJ12" s="5">
        <f>SUM(C12:AI12)</f>
        <v>74912</v>
      </c>
      <c r="AK12">
        <f>+AB12+Q12+V12+AC12+AE12+AF12+S12</f>
        <v>42700</v>
      </c>
      <c r="AL12" s="20">
        <f>+C12+E12+I12+N12+P12+R12+X12+D12+AH12+W12</f>
        <v>18312</v>
      </c>
      <c r="AM12">
        <f>+B12+F12+O12+Y12+AD12+AI12+AG12+K12+L12+U12+T12+Z12+AA12+M12+J12+H12</f>
        <v>13424</v>
      </c>
      <c r="AN12">
        <f>+P12+U12+X12+AI12+N12+I12+F12</f>
        <v>11928</v>
      </c>
      <c r="AO12" s="20">
        <f>+B12+C12+J12+K12+L12+O12+Q12+R12+V12+Y12+AB12+AC12+AD12+AE12+AF12+AG12+S12+D12+AH12+W12+M12+E12+G12</f>
        <v>61226</v>
      </c>
      <c r="AP12">
        <f>+AA12+Z12+T12+H12</f>
        <v>1758</v>
      </c>
      <c r="AQ12">
        <f>+AK12+AL12+AM12</f>
        <v>74436</v>
      </c>
      <c r="AR12" t="s">
        <v>15</v>
      </c>
    </row>
    <row r="13" spans="1:45" x14ac:dyDescent="0.2">
      <c r="A13" t="s">
        <v>2</v>
      </c>
      <c r="C13">
        <v>686</v>
      </c>
      <c r="E13">
        <f>+E12*0.622</f>
        <v>0</v>
      </c>
      <c r="F13">
        <f>+F12*0.741</f>
        <v>2261.5320000000002</v>
      </c>
      <c r="G13">
        <v>330</v>
      </c>
      <c r="H13">
        <v>261</v>
      </c>
      <c r="I13">
        <f>+I12*0.771</f>
        <v>1899.7440000000001</v>
      </c>
      <c r="J13">
        <f>+J12*0.96</f>
        <v>1532.1599999999999</v>
      </c>
      <c r="K13">
        <f>+K12*0.94</f>
        <v>1000.16</v>
      </c>
      <c r="L13">
        <v>445</v>
      </c>
      <c r="M13">
        <v>187</v>
      </c>
      <c r="N13">
        <v>1717</v>
      </c>
      <c r="O13">
        <v>560</v>
      </c>
      <c r="P13">
        <v>2371</v>
      </c>
      <c r="R13">
        <f>+R12*0.706</f>
        <v>2194.248</v>
      </c>
      <c r="S13">
        <f>+S12*0.572</f>
        <v>3363.3599999999997</v>
      </c>
      <c r="T13">
        <f>+T12*0.683</f>
        <v>879.70400000000006</v>
      </c>
      <c r="U13">
        <v>420</v>
      </c>
      <c r="V13">
        <v>8567</v>
      </c>
      <c r="W13">
        <f>+W12*0.735</f>
        <v>1193.6399999999999</v>
      </c>
      <c r="X13">
        <v>0</v>
      </c>
      <c r="Y13">
        <v>182</v>
      </c>
      <c r="AB13">
        <f>+AB12*0.743</f>
        <v>3744.72</v>
      </c>
      <c r="AC13">
        <f>+AC12*0.9561</f>
        <v>10520.9244</v>
      </c>
      <c r="AD13">
        <v>289</v>
      </c>
      <c r="AE13">
        <v>3241</v>
      </c>
      <c r="AF13">
        <f>+AF12*0.843</f>
        <v>2926.8959999999997</v>
      </c>
      <c r="AG13">
        <v>1234</v>
      </c>
      <c r="AH13">
        <v>2921</v>
      </c>
      <c r="AI13">
        <v>372</v>
      </c>
      <c r="AJ13" s="5">
        <f>SUM(C13:AI13)</f>
        <v>55300.088400000001</v>
      </c>
      <c r="AK13">
        <f>+AB13+Q13+V13+AC13+AE13+AF13+S13</f>
        <v>32363.900399999999</v>
      </c>
      <c r="AL13" s="20">
        <f>+C13+E13+I13+N13+P13+R13+X13+D13+AH13+W13</f>
        <v>12982.632</v>
      </c>
      <c r="AM13">
        <f>+B13+F13+O13+Y13+AD13+AI13+AG13+K13+L13+U13+T13+Z13+AA13+M13+J13+H13</f>
        <v>9623.5560000000005</v>
      </c>
      <c r="AN13">
        <f>+P13+U13+X13+AI13+N13+I13+F13</f>
        <v>9041.2760000000017</v>
      </c>
      <c r="AO13" s="20">
        <f>+B13+C13+J13+K13+L13+O13+Q13+R13+V13+Y13+AB13+AC13+AD13+AE13+AF13+AG13+S13+D13+AH13+W13+M13+E13+G13</f>
        <v>45118.108400000005</v>
      </c>
      <c r="AP13">
        <f>+AA13+Z13+T13+H13</f>
        <v>1140.7040000000002</v>
      </c>
      <c r="AQ13">
        <f>+AK13+AL13+AM13</f>
        <v>54970.088399999993</v>
      </c>
    </row>
    <row r="14" spans="1:45" x14ac:dyDescent="0.2">
      <c r="A14" t="s">
        <v>4</v>
      </c>
      <c r="C14" s="3">
        <f>+C13/C12</f>
        <v>0.46226415094339623</v>
      </c>
      <c r="D14" s="3"/>
      <c r="E14" s="3">
        <v>0</v>
      </c>
      <c r="F14" s="3">
        <f t="shared" ref="F14:L14" si="3">+F13/F12</f>
        <v>0.7410000000000001</v>
      </c>
      <c r="G14" s="3">
        <f t="shared" si="3"/>
        <v>0.69327731092436973</v>
      </c>
      <c r="H14" s="3">
        <f t="shared" si="3"/>
        <v>0.55531914893617018</v>
      </c>
      <c r="I14" s="3">
        <f t="shared" si="3"/>
        <v>0.77100000000000002</v>
      </c>
      <c r="J14" s="3">
        <f t="shared" si="3"/>
        <v>0.95999999999999985</v>
      </c>
      <c r="K14" s="3">
        <f t="shared" si="3"/>
        <v>0.94</v>
      </c>
      <c r="L14" s="3">
        <f t="shared" si="3"/>
        <v>0.63571428571428568</v>
      </c>
      <c r="M14" s="3">
        <f>+M13/M12</f>
        <v>0.47704081632653061</v>
      </c>
      <c r="N14" s="3">
        <f>+N13/N12</f>
        <v>0.85168650793650791</v>
      </c>
      <c r="O14" s="3">
        <f t="shared" ref="O14:Y14" si="4">+O13/O12</f>
        <v>0.76923076923076927</v>
      </c>
      <c r="P14" s="3">
        <f t="shared" si="4"/>
        <v>0.86406705539358597</v>
      </c>
      <c r="Q14" s="3" t="e">
        <f t="shared" si="4"/>
        <v>#DIV/0!</v>
      </c>
      <c r="R14" s="3">
        <f t="shared" si="4"/>
        <v>0.70599999999999996</v>
      </c>
      <c r="S14" s="3">
        <f t="shared" si="4"/>
        <v>0.57199999999999995</v>
      </c>
      <c r="T14" s="3">
        <f t="shared" si="4"/>
        <v>0.68300000000000005</v>
      </c>
      <c r="U14" s="3">
        <f t="shared" si="4"/>
        <v>0.6</v>
      </c>
      <c r="V14" s="3">
        <f t="shared" si="4"/>
        <v>0.65940578817733986</v>
      </c>
      <c r="W14" s="3">
        <f t="shared" si="4"/>
        <v>0.73499999999999988</v>
      </c>
      <c r="X14" s="3">
        <v>0</v>
      </c>
      <c r="Y14" s="3">
        <f t="shared" si="4"/>
        <v>0.26</v>
      </c>
      <c r="Z14" s="3"/>
      <c r="AA14" s="3"/>
      <c r="AB14" s="3">
        <f t="shared" ref="AB14:AI14" si="5">+AB13/AB12</f>
        <v>0.74299999999999999</v>
      </c>
      <c r="AC14" s="3">
        <f t="shared" si="5"/>
        <v>0.95609999999999995</v>
      </c>
      <c r="AD14" s="3">
        <f t="shared" si="5"/>
        <v>0.79395604395604391</v>
      </c>
      <c r="AE14" s="3">
        <f t="shared" si="5"/>
        <v>0.75162337662337664</v>
      </c>
      <c r="AF14" s="3">
        <f t="shared" si="5"/>
        <v>0.84299999999999997</v>
      </c>
      <c r="AG14" s="3">
        <f t="shared" si="5"/>
        <v>0.87023977433004229</v>
      </c>
      <c r="AH14" s="3">
        <f t="shared" si="5"/>
        <v>0.59954844006568142</v>
      </c>
      <c r="AI14" s="3">
        <f t="shared" si="5"/>
        <v>0.3907563025210084</v>
      </c>
      <c r="AJ14" s="6">
        <f t="shared" ref="AJ14:AP14" si="6">+AJ13/AJ12</f>
        <v>0.73820066744980783</v>
      </c>
      <c r="AK14" s="3">
        <f t="shared" si="6"/>
        <v>0.75793677751756439</v>
      </c>
      <c r="AL14" s="3">
        <f t="shared" si="6"/>
        <v>0.70896854521625163</v>
      </c>
      <c r="AM14" s="3">
        <f t="shared" si="6"/>
        <v>0.71689183551847446</v>
      </c>
      <c r="AN14" s="3">
        <f t="shared" si="6"/>
        <v>0.75798759221998668</v>
      </c>
      <c r="AO14" s="3">
        <f t="shared" si="6"/>
        <v>0.73691092673047409</v>
      </c>
      <c r="AP14" s="3">
        <f t="shared" si="6"/>
        <v>0.64886461888509683</v>
      </c>
    </row>
    <row r="15" spans="1:45" x14ac:dyDescent="0.2">
      <c r="A15" s="20"/>
      <c r="B15" s="20"/>
      <c r="C15" s="20">
        <v>1</v>
      </c>
      <c r="D15" s="20"/>
      <c r="E15" s="20"/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/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/>
      <c r="Y15" s="20">
        <v>1</v>
      </c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19">
        <f>SUM(C15:AI15)</f>
        <v>27</v>
      </c>
      <c r="AK15" s="20">
        <f>+AB15+Q15+V15+AC15+AE15+AF15+S15</f>
        <v>6</v>
      </c>
      <c r="AL15" s="20">
        <f>+C15+E15+I15+N15+P15+R15+X15+D15+AH15+W15</f>
        <v>7</v>
      </c>
      <c r="AM15" s="20">
        <f>+B15+F15+O15+Y15+AD15+AI15+AG15+K15+L15+U15+T15+Z15+AA15+M15+J15+H15</f>
        <v>13</v>
      </c>
      <c r="AN15" s="20">
        <f>+P15+U15+X15+AI15+N15+I15+F15</f>
        <v>6</v>
      </c>
      <c r="AO15" s="20">
        <f>+B15+C15+J15+K15+L15+O15+Q15+R15+V15+Y15+AB15+AC15+AD15+AE15+AF15+AG15+S15+D15+AH15+W15+M15+E15+G15</f>
        <v>19</v>
      </c>
      <c r="AP15" s="20">
        <f>+AA15+Z15+T15+H15</f>
        <v>2</v>
      </c>
    </row>
    <row r="17" spans="1:44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J17" s="5"/>
    </row>
    <row r="18" spans="1:44" x14ac:dyDescent="0.2">
      <c r="A18" t="s">
        <v>1</v>
      </c>
      <c r="C18">
        <v>1643</v>
      </c>
      <c r="E18">
        <v>0</v>
      </c>
      <c r="F18">
        <v>3379</v>
      </c>
      <c r="H18">
        <v>434</v>
      </c>
      <c r="I18">
        <v>2728</v>
      </c>
      <c r="J18">
        <v>1767</v>
      </c>
      <c r="K18">
        <v>1178</v>
      </c>
      <c r="L18">
        <v>775</v>
      </c>
      <c r="M18">
        <v>434</v>
      </c>
      <c r="N18">
        <v>2232</v>
      </c>
      <c r="O18">
        <v>837</v>
      </c>
      <c r="P18">
        <v>3038</v>
      </c>
      <c r="R18">
        <v>3441</v>
      </c>
      <c r="S18">
        <v>6510</v>
      </c>
      <c r="T18">
        <v>1426</v>
      </c>
      <c r="U18">
        <v>775</v>
      </c>
      <c r="V18">
        <v>14384</v>
      </c>
      <c r="W18">
        <v>1798</v>
      </c>
      <c r="X18">
        <v>0</v>
      </c>
      <c r="Y18">
        <v>775</v>
      </c>
      <c r="AB18">
        <v>5580</v>
      </c>
      <c r="AC18">
        <v>12183</v>
      </c>
      <c r="AD18">
        <v>403</v>
      </c>
      <c r="AE18">
        <v>4774</v>
      </c>
      <c r="AF18">
        <v>3844</v>
      </c>
      <c r="AG18">
        <v>1557</v>
      </c>
      <c r="AH18">
        <v>5394</v>
      </c>
      <c r="AI18">
        <v>1054</v>
      </c>
      <c r="AJ18" s="5">
        <f>SUM(C18:AI18)</f>
        <v>82343</v>
      </c>
      <c r="AK18">
        <f>+AB18+Q18+V18+AC18+AE18+AF18+S18</f>
        <v>47275</v>
      </c>
      <c r="AL18" s="20">
        <f>+C18+E18+I18+N18+P18+R18+X18+D18+AH18+W18</f>
        <v>20274</v>
      </c>
      <c r="AM18">
        <f>+B18+F18+O18+Y18+AD18+AI18+AG18+K18+L18+U18+T18+Z18+AA18+M18+J18+H18</f>
        <v>14794</v>
      </c>
      <c r="AN18">
        <f>+P18+U18+X18+AI18+N18+I18+F18</f>
        <v>13206</v>
      </c>
      <c r="AO18" s="20">
        <f>+B18+C18+J18+K18+L18+O18+Q18+R18+V18+Y18+AB18+AC18+AD18+AE18+AF18+AG18+S18+D18+AH18+W18+M18+E18+G18</f>
        <v>67277</v>
      </c>
      <c r="AP18">
        <f>+AA18+Z18+T18+H18</f>
        <v>1860</v>
      </c>
      <c r="AQ18">
        <f>+AK18+AL18+AM18</f>
        <v>82343</v>
      </c>
    </row>
    <row r="19" spans="1:44" x14ac:dyDescent="0.2">
      <c r="A19" t="s">
        <v>2</v>
      </c>
      <c r="C19">
        <v>700</v>
      </c>
      <c r="E19">
        <v>0</v>
      </c>
      <c r="F19">
        <f>+F18*0.67</f>
        <v>2263.9300000000003</v>
      </c>
      <c r="H19">
        <v>239</v>
      </c>
      <c r="I19">
        <f>+I18*0.756</f>
        <v>2062.3679999999999</v>
      </c>
      <c r="J19">
        <f>+J18*0.94</f>
        <v>1660.98</v>
      </c>
      <c r="K19">
        <f>+K18*0.89</f>
        <v>1048.42</v>
      </c>
      <c r="L19">
        <v>579</v>
      </c>
      <c r="M19">
        <v>60</v>
      </c>
      <c r="N19">
        <v>1436</v>
      </c>
      <c r="O19">
        <v>403</v>
      </c>
      <c r="P19">
        <v>2201</v>
      </c>
      <c r="R19">
        <f>+R18*0.452</f>
        <v>1555.3320000000001</v>
      </c>
      <c r="S19">
        <f>+S18*0.421</f>
        <v>2740.71</v>
      </c>
      <c r="T19">
        <f>+T18*0.425</f>
        <v>606.04999999999995</v>
      </c>
      <c r="U19">
        <f>+U18*0.84</f>
        <v>651</v>
      </c>
      <c r="V19">
        <v>8697</v>
      </c>
      <c r="W19">
        <f>+W18*0.55</f>
        <v>988.90000000000009</v>
      </c>
      <c r="X19">
        <v>0</v>
      </c>
      <c r="Y19">
        <v>65</v>
      </c>
      <c r="AB19">
        <f>+AB18*0.72</f>
        <v>4017.6</v>
      </c>
      <c r="AC19">
        <f>+AC18*0.9636</f>
        <v>11739.5388</v>
      </c>
      <c r="AD19">
        <v>279</v>
      </c>
      <c r="AE19">
        <v>3721</v>
      </c>
      <c r="AF19">
        <f>+AF18*0.885</f>
        <v>3401.94</v>
      </c>
      <c r="AG19">
        <v>1292</v>
      </c>
      <c r="AH19">
        <v>4327</v>
      </c>
      <c r="AI19">
        <v>296</v>
      </c>
      <c r="AJ19" s="5">
        <f>SUM(C19:AI19)</f>
        <v>57031.768800000005</v>
      </c>
      <c r="AK19">
        <f>+AB19+Q19+V19+AC19+AE19+AF19+S19</f>
        <v>34317.788800000002</v>
      </c>
      <c r="AL19" s="20">
        <f>+C19+E19+I19+N19+P19+R19+X19+D19+AH19+W19</f>
        <v>13270.6</v>
      </c>
      <c r="AM19">
        <f>+B19+F19+O19+Y19+AD19+AI19+AG19+K19+L19+U19+T19+Z19+AA19+M19+J19+H19</f>
        <v>9443.380000000001</v>
      </c>
      <c r="AN19">
        <f>+P19+U19+X19+AI19+N19+I19+F19</f>
        <v>8910.2980000000007</v>
      </c>
      <c r="AO19" s="20">
        <f>+B19+C19+J19+K19+L19+O19+Q19+R19+V19+Y19+AB19+AC19+AD19+AE19+AF19+AG19+S19+D19+AH19+W19+M19+E19+G19</f>
        <v>47276.4208</v>
      </c>
      <c r="AP19">
        <f>+AA19+Z19+T19+H19</f>
        <v>845.05</v>
      </c>
      <c r="AQ19">
        <f>+AK19+AL19+AM19</f>
        <v>57031.768800000005</v>
      </c>
    </row>
    <row r="20" spans="1:44" x14ac:dyDescent="0.2">
      <c r="A20" t="s">
        <v>4</v>
      </c>
      <c r="C20" s="3">
        <f>+C19/C18</f>
        <v>0.426049908703591</v>
      </c>
      <c r="D20" s="3"/>
      <c r="E20" s="3">
        <v>0</v>
      </c>
      <c r="F20" s="3">
        <f t="shared" ref="F20:L20" si="7">+F19/F18</f>
        <v>0.67</v>
      </c>
      <c r="G20" s="3"/>
      <c r="H20" s="3">
        <f t="shared" si="7"/>
        <v>0.55069124423963134</v>
      </c>
      <c r="I20" s="3">
        <f t="shared" si="7"/>
        <v>0.75600000000000001</v>
      </c>
      <c r="J20" s="3">
        <f t="shared" si="7"/>
        <v>0.94000000000000006</v>
      </c>
      <c r="K20" s="3">
        <f t="shared" si="7"/>
        <v>0.89</v>
      </c>
      <c r="L20" s="3">
        <f t="shared" si="7"/>
        <v>0.74709677419354836</v>
      </c>
      <c r="M20" s="3">
        <f t="shared" ref="M20:Y20" si="8">+M19/M18</f>
        <v>0.13824884792626729</v>
      </c>
      <c r="N20" s="3">
        <f t="shared" si="8"/>
        <v>0.64336917562724016</v>
      </c>
      <c r="O20" s="3">
        <f t="shared" si="8"/>
        <v>0.48148148148148145</v>
      </c>
      <c r="P20" s="3">
        <f t="shared" si="8"/>
        <v>0.72448979591836737</v>
      </c>
      <c r="Q20" s="3" t="e">
        <f t="shared" si="8"/>
        <v>#DIV/0!</v>
      </c>
      <c r="R20" s="3">
        <f t="shared" si="8"/>
        <v>0.45200000000000001</v>
      </c>
      <c r="S20" s="3">
        <f t="shared" si="8"/>
        <v>0.42099999999999999</v>
      </c>
      <c r="T20" s="3">
        <f t="shared" si="8"/>
        <v>0.42499999999999999</v>
      </c>
      <c r="U20" s="3">
        <f t="shared" si="8"/>
        <v>0.84</v>
      </c>
      <c r="V20" s="3">
        <f t="shared" si="8"/>
        <v>0.60463014460511677</v>
      </c>
      <c r="W20" s="3">
        <f t="shared" si="8"/>
        <v>0.55000000000000004</v>
      </c>
      <c r="X20" s="3">
        <v>0</v>
      </c>
      <c r="Y20" s="3">
        <f t="shared" si="8"/>
        <v>8.387096774193549E-2</v>
      </c>
      <c r="Z20" s="3"/>
      <c r="AA20" s="3" t="e">
        <f t="shared" ref="AA20:AJ20" si="9">+AA19/AA18</f>
        <v>#DIV/0!</v>
      </c>
      <c r="AB20" s="3">
        <f t="shared" si="9"/>
        <v>0.72</v>
      </c>
      <c r="AC20" s="3">
        <f t="shared" si="9"/>
        <v>0.96360000000000001</v>
      </c>
      <c r="AD20" s="3">
        <f t="shared" si="9"/>
        <v>0.69230769230769229</v>
      </c>
      <c r="AE20" s="3">
        <f t="shared" si="9"/>
        <v>0.77943024717218268</v>
      </c>
      <c r="AF20" s="3">
        <f t="shared" si="9"/>
        <v>0.88500000000000001</v>
      </c>
      <c r="AG20" s="3">
        <f t="shared" si="9"/>
        <v>0.82980089916506106</v>
      </c>
      <c r="AH20" s="3">
        <f t="shared" si="9"/>
        <v>0.80218761586948462</v>
      </c>
      <c r="AI20" s="3">
        <f t="shared" si="9"/>
        <v>0.28083491461100568</v>
      </c>
      <c r="AJ20" s="6">
        <f t="shared" si="9"/>
        <v>0.69261222933339817</v>
      </c>
      <c r="AK20" s="3">
        <f t="shared" ref="AK20:AP20" si="10">+AK19/AK18</f>
        <v>0.7259183246959281</v>
      </c>
      <c r="AL20" s="3">
        <f t="shared" si="10"/>
        <v>0.65456249383446785</v>
      </c>
      <c r="AM20" s="3">
        <f t="shared" si="10"/>
        <v>0.63832499662025155</v>
      </c>
      <c r="AN20" s="3">
        <f t="shared" si="10"/>
        <v>0.67471588671815852</v>
      </c>
      <c r="AO20" s="3">
        <f t="shared" si="10"/>
        <v>0.70271297471647076</v>
      </c>
      <c r="AP20" s="3">
        <f t="shared" si="10"/>
        <v>0.45432795698924727</v>
      </c>
    </row>
    <row r="21" spans="1:44" x14ac:dyDescent="0.2">
      <c r="A21" s="20"/>
      <c r="B21" s="20"/>
      <c r="C21" s="20">
        <v>1</v>
      </c>
      <c r="D21" s="20"/>
      <c r="E21" s="20"/>
      <c r="F21" s="20">
        <v>1</v>
      </c>
      <c r="G21" s="20"/>
      <c r="H21" s="20">
        <v>1</v>
      </c>
      <c r="I21" s="20">
        <v>1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/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/>
      <c r="Y21" s="20">
        <v>1</v>
      </c>
      <c r="Z21" s="20"/>
      <c r="AA21" s="20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19">
        <f>SUM(C21:AI21)</f>
        <v>26</v>
      </c>
      <c r="AK21" s="20">
        <f>+AB21+Q21+V21+AC21+AE21+AF21+S21</f>
        <v>6</v>
      </c>
      <c r="AL21" s="20">
        <f>+C21+E21+I21+N21+P21+R21+X21+D21+AH21+W21</f>
        <v>7</v>
      </c>
      <c r="AM21" s="20">
        <f>+B21+F21+O21+Y21+AD21+AI21+AG21+K21+L21+U21+T21+Z21+AA21+M21+J21+H21</f>
        <v>13</v>
      </c>
      <c r="AN21" s="20">
        <f>+P21+U21+X21+AI21+N21+I21+F21</f>
        <v>6</v>
      </c>
      <c r="AO21" s="20">
        <f>+B21+C21+J21+K21+L21+O21+Q21+R21+V21+Y21+AB21+AC21+AD21+AE21+AF21+AG21+S21+D21+AH21+W21+M21+E21+G21</f>
        <v>18</v>
      </c>
      <c r="AP21" s="20">
        <f>+AA21+Z21+T21+H21</f>
        <v>2</v>
      </c>
    </row>
    <row r="23" spans="1:44" x14ac:dyDescent="0.2">
      <c r="A23" s="2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1"/>
      <c r="AJ23" s="5"/>
    </row>
    <row r="24" spans="1:44" x14ac:dyDescent="0.2">
      <c r="A24" t="s">
        <v>1</v>
      </c>
      <c r="C24">
        <v>1590</v>
      </c>
      <c r="E24">
        <v>0</v>
      </c>
      <c r="F24">
        <v>3270</v>
      </c>
      <c r="H24">
        <v>420</v>
      </c>
      <c r="I24">
        <v>2640</v>
      </c>
      <c r="J24">
        <v>1710</v>
      </c>
      <c r="K24">
        <v>1140</v>
      </c>
      <c r="L24">
        <f>775/31*30</f>
        <v>750</v>
      </c>
      <c r="M24">
        <v>420</v>
      </c>
      <c r="N24">
        <v>2160</v>
      </c>
      <c r="O24">
        <v>840</v>
      </c>
      <c r="P24">
        <v>2904</v>
      </c>
      <c r="R24">
        <v>3330</v>
      </c>
      <c r="S24">
        <v>6300</v>
      </c>
      <c r="T24">
        <v>1380</v>
      </c>
      <c r="U24">
        <v>750</v>
      </c>
      <c r="V24">
        <v>13920</v>
      </c>
      <c r="W24">
        <v>1620</v>
      </c>
      <c r="X24">
        <v>0</v>
      </c>
      <c r="Y24">
        <v>750</v>
      </c>
      <c r="AB24">
        <v>5400</v>
      </c>
      <c r="AC24">
        <v>11790</v>
      </c>
      <c r="AD24">
        <f>12*30</f>
        <v>360</v>
      </c>
      <c r="AE24">
        <v>4620</v>
      </c>
      <c r="AG24">
        <v>1479</v>
      </c>
      <c r="AH24">
        <v>5220</v>
      </c>
      <c r="AI24">
        <v>1020</v>
      </c>
      <c r="AJ24" s="5">
        <f>SUM(C24:AI24)</f>
        <v>75783</v>
      </c>
      <c r="AK24">
        <f>+AB24+Q24+V24+AC24+AE24+AF24+S24</f>
        <v>42030</v>
      </c>
      <c r="AL24" s="20">
        <f>+C24+E24+I24+N24+P24+R24+X24+D24+AH24+W24</f>
        <v>19464</v>
      </c>
      <c r="AM24">
        <f>+B24+F24+O24+Y24+AD24+AI24+AG24+K24+L24+U24+T24+Z24+AA24+M24+J24+H24</f>
        <v>14289</v>
      </c>
      <c r="AN24">
        <f>+P24+U24+X24+AI24+N24+I24+F24</f>
        <v>12744</v>
      </c>
      <c r="AO24" s="20">
        <f>+B24+C24+J24+K24+L24+O24+Q24+R24+V24+Y24+AB24+AC24+AD24+AE24+AF24+AG24+S24+D24+AH24+W24+M24+E24+G24</f>
        <v>61239</v>
      </c>
      <c r="AP24">
        <f>+AA24+Z24+T24+H24</f>
        <v>1800</v>
      </c>
      <c r="AQ24">
        <f>+AK24+AL24+AM24</f>
        <v>75783</v>
      </c>
    </row>
    <row r="25" spans="1:44" x14ac:dyDescent="0.2">
      <c r="A25" t="s">
        <v>2</v>
      </c>
      <c r="C25">
        <v>482</v>
      </c>
      <c r="E25">
        <v>0</v>
      </c>
      <c r="F25">
        <f>+F24*0.4</f>
        <v>1308</v>
      </c>
      <c r="H25">
        <v>276</v>
      </c>
      <c r="I25">
        <f>+I24*0.656</f>
        <v>1731.8400000000001</v>
      </c>
      <c r="J25">
        <f>+J24*0.86</f>
        <v>1470.6</v>
      </c>
      <c r="K25">
        <v>650</v>
      </c>
      <c r="L25">
        <v>563</v>
      </c>
      <c r="M25">
        <v>147</v>
      </c>
      <c r="N25">
        <v>1017</v>
      </c>
      <c r="O25">
        <v>540</v>
      </c>
      <c r="P25">
        <v>1407</v>
      </c>
      <c r="R25">
        <f>+R24*0.4</f>
        <v>1332</v>
      </c>
      <c r="S25">
        <f>+S24*0.38</f>
        <v>2394</v>
      </c>
      <c r="T25">
        <f>+T24*0.616</f>
        <v>850.08</v>
      </c>
      <c r="U25">
        <v>375</v>
      </c>
      <c r="V25">
        <v>6626</v>
      </c>
      <c r="W25">
        <f>+W24*0.46</f>
        <v>745.2</v>
      </c>
      <c r="X25">
        <v>0</v>
      </c>
      <c r="Y25">
        <v>22</v>
      </c>
      <c r="AB25">
        <v>3564</v>
      </c>
      <c r="AC25">
        <f>+AC24*0.9334</f>
        <v>11004.786</v>
      </c>
      <c r="AD25">
        <v>243</v>
      </c>
      <c r="AE25">
        <v>3504</v>
      </c>
      <c r="AG25">
        <v>1290</v>
      </c>
      <c r="AH25">
        <v>3750</v>
      </c>
      <c r="AI25">
        <v>340</v>
      </c>
      <c r="AJ25" s="5">
        <f>SUM(C25:AI25)</f>
        <v>45632.506000000001</v>
      </c>
      <c r="AK25">
        <f>+AB25+Q25+V25+AC25+AE25+AF25+S25</f>
        <v>27092.786</v>
      </c>
      <c r="AL25" s="20">
        <f>+C25+E25+I25+N25+P25+R25+X25+D25+AH25+W25</f>
        <v>10465.040000000001</v>
      </c>
      <c r="AM25">
        <f>+B25+F25+O25+Y25+AD25+AI25+AG25+K25+L25+U25+T25+Z25+AA25+M25+J25+H25</f>
        <v>8074.68</v>
      </c>
      <c r="AN25">
        <f>+P25+U25+X25+AI25+N25+I25+F25</f>
        <v>6178.84</v>
      </c>
      <c r="AO25" s="20">
        <f>+B25+C25+J25+K25+L25+O25+Q25+R25+V25+Y25+AB25+AC25+AD25+AE25+AF25+AG25+S25+D25+AH25+W25+M25+E25+G25</f>
        <v>38327.585999999996</v>
      </c>
      <c r="AP25">
        <f>+AA25+Z25+T25+H25</f>
        <v>1126.08</v>
      </c>
      <c r="AQ25">
        <f>+AK25+AL25+AM25</f>
        <v>45632.506000000001</v>
      </c>
    </row>
    <row r="26" spans="1:44" x14ac:dyDescent="0.2">
      <c r="A26" t="s">
        <v>4</v>
      </c>
      <c r="C26" s="3">
        <f>+C25/C24</f>
        <v>0.3031446540880503</v>
      </c>
      <c r="D26" s="3"/>
      <c r="E26" s="3">
        <v>0</v>
      </c>
      <c r="F26" s="3">
        <f t="shared" ref="F26:L26" si="11">+F25/F24</f>
        <v>0.4</v>
      </c>
      <c r="G26" s="3"/>
      <c r="H26" s="3">
        <f t="shared" si="11"/>
        <v>0.65714285714285714</v>
      </c>
      <c r="I26" s="3">
        <f t="shared" si="11"/>
        <v>0.65600000000000003</v>
      </c>
      <c r="J26" s="3">
        <f t="shared" si="11"/>
        <v>0.86</v>
      </c>
      <c r="K26" s="3">
        <f t="shared" si="11"/>
        <v>0.57017543859649122</v>
      </c>
      <c r="L26" s="3">
        <f t="shared" si="11"/>
        <v>0.7506666666666667</v>
      </c>
      <c r="M26" s="3">
        <f t="shared" ref="M26:Y26" si="12">+M25/M24</f>
        <v>0.35</v>
      </c>
      <c r="N26" s="3">
        <f t="shared" si="12"/>
        <v>0.47083333333333333</v>
      </c>
      <c r="O26" s="3">
        <f t="shared" si="12"/>
        <v>0.6428571428571429</v>
      </c>
      <c r="P26" s="3">
        <f t="shared" si="12"/>
        <v>0.48450413223140498</v>
      </c>
      <c r="Q26" s="3" t="e">
        <f t="shared" si="12"/>
        <v>#DIV/0!</v>
      </c>
      <c r="R26" s="3">
        <f t="shared" si="12"/>
        <v>0.4</v>
      </c>
      <c r="S26" s="3">
        <f t="shared" si="12"/>
        <v>0.38</v>
      </c>
      <c r="T26" s="3">
        <f t="shared" si="12"/>
        <v>0.61599999999999999</v>
      </c>
      <c r="U26" s="3">
        <f t="shared" si="12"/>
        <v>0.5</v>
      </c>
      <c r="V26" s="3">
        <f t="shared" si="12"/>
        <v>0.47600574712643678</v>
      </c>
      <c r="W26" s="3">
        <f t="shared" si="12"/>
        <v>0.46</v>
      </c>
      <c r="X26" s="3">
        <v>0</v>
      </c>
      <c r="Y26" s="3">
        <f t="shared" si="12"/>
        <v>2.9333333333333333E-2</v>
      </c>
      <c r="Z26" s="3"/>
      <c r="AA26" s="3" t="e">
        <f t="shared" ref="AA26:AJ26" si="13">+AA25/AA24</f>
        <v>#DIV/0!</v>
      </c>
      <c r="AB26" s="3">
        <f t="shared" si="13"/>
        <v>0.66</v>
      </c>
      <c r="AC26" s="3">
        <f t="shared" si="13"/>
        <v>0.93340000000000001</v>
      </c>
      <c r="AD26" s="3">
        <f t="shared" si="13"/>
        <v>0.67500000000000004</v>
      </c>
      <c r="AE26" s="3">
        <f t="shared" si="13"/>
        <v>0.75844155844155847</v>
      </c>
      <c r="AF26" s="3" t="e">
        <f t="shared" si="13"/>
        <v>#DIV/0!</v>
      </c>
      <c r="AG26" s="3">
        <f t="shared" si="13"/>
        <v>0.87221095334685594</v>
      </c>
      <c r="AH26" s="3">
        <f t="shared" si="13"/>
        <v>0.7183908045977011</v>
      </c>
      <c r="AI26" s="3">
        <f t="shared" si="13"/>
        <v>0.33333333333333331</v>
      </c>
      <c r="AJ26" s="6">
        <f t="shared" si="13"/>
        <v>0.6021469986672473</v>
      </c>
      <c r="AK26" s="3">
        <f t="shared" ref="AK26:AP26" si="14">+AK25/AK24</f>
        <v>0.64460590054722822</v>
      </c>
      <c r="AL26" s="3">
        <f t="shared" si="14"/>
        <v>0.53766132346896844</v>
      </c>
      <c r="AM26" s="3">
        <f t="shared" si="14"/>
        <v>0.5650976275456645</v>
      </c>
      <c r="AN26" s="3">
        <f t="shared" si="14"/>
        <v>0.48484306340238542</v>
      </c>
      <c r="AO26" s="3">
        <f t="shared" si="14"/>
        <v>0.62586890706902454</v>
      </c>
      <c r="AP26" s="3">
        <f t="shared" si="14"/>
        <v>0.62559999999999993</v>
      </c>
    </row>
    <row r="27" spans="1:44" x14ac:dyDescent="0.2">
      <c r="A27" s="20"/>
      <c r="B27" s="20"/>
      <c r="C27" s="20">
        <v>1</v>
      </c>
      <c r="D27" s="20"/>
      <c r="E27" s="20"/>
      <c r="F27" s="20">
        <v>1</v>
      </c>
      <c r="G27" s="20"/>
      <c r="H27" s="20">
        <v>1</v>
      </c>
      <c r="I27" s="20">
        <v>1</v>
      </c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/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/>
      <c r="Y27" s="20">
        <v>1</v>
      </c>
      <c r="Z27" s="20"/>
      <c r="AA27" s="20"/>
      <c r="AB27" s="20">
        <v>1</v>
      </c>
      <c r="AC27" s="20">
        <v>1</v>
      </c>
      <c r="AD27" s="20">
        <v>1</v>
      </c>
      <c r="AE27" s="20">
        <v>1</v>
      </c>
      <c r="AF27" s="20"/>
      <c r="AG27" s="20">
        <v>1</v>
      </c>
      <c r="AH27" s="20">
        <v>1</v>
      </c>
      <c r="AI27" s="20">
        <v>1</v>
      </c>
      <c r="AJ27" s="19">
        <f>SUM(C27:AI27)</f>
        <v>25</v>
      </c>
      <c r="AK27" s="20">
        <f>+AB27+Q27+V27+AC27+AE27+AF27+S27</f>
        <v>5</v>
      </c>
      <c r="AL27" s="20">
        <f>+C27+E27+I27+N27+P27+R27+X27+D27+AH27+W27</f>
        <v>7</v>
      </c>
      <c r="AM27" s="20">
        <f>+B27+F27+O27+Y27+AD27+AI27+AG27+K27+L27+U27+T27+Z27+AA27+M27+J27+H27</f>
        <v>13</v>
      </c>
      <c r="AN27" s="20">
        <f>+P27+U27+X27+AI27+N27+I27+F27</f>
        <v>6</v>
      </c>
      <c r="AO27" s="20">
        <f>+B27+C27+J27+K27+L27+O27+Q27+R27+V27+Y27+AB27+AC27+AD27+AE27+AF27+AG27+S27+D27+AH27+W27+M27+E27+G27</f>
        <v>17</v>
      </c>
      <c r="AP27" s="20">
        <f>+AA27+Z27+T27+H27</f>
        <v>2</v>
      </c>
    </row>
    <row r="29" spans="1:44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1"/>
      <c r="AJ29" s="5"/>
    </row>
    <row r="30" spans="1:44" x14ac:dyDescent="0.2">
      <c r="A30" t="s">
        <v>1</v>
      </c>
      <c r="C30">
        <v>1643</v>
      </c>
      <c r="E30">
        <v>0</v>
      </c>
      <c r="F30">
        <v>3379</v>
      </c>
      <c r="G30">
        <f>17*31</f>
        <v>527</v>
      </c>
      <c r="H30">
        <v>434</v>
      </c>
      <c r="I30">
        <v>2728</v>
      </c>
      <c r="J30">
        <v>1767</v>
      </c>
      <c r="K30">
        <v>1178</v>
      </c>
      <c r="L30">
        <v>775</v>
      </c>
      <c r="M30">
        <v>434</v>
      </c>
      <c r="N30">
        <v>2232</v>
      </c>
      <c r="O30">
        <v>527</v>
      </c>
      <c r="P30">
        <v>3038</v>
      </c>
      <c r="R30">
        <v>3441</v>
      </c>
      <c r="S30">
        <v>6510</v>
      </c>
      <c r="T30">
        <v>1426</v>
      </c>
      <c r="U30">
        <v>775</v>
      </c>
      <c r="V30">
        <v>14384</v>
      </c>
      <c r="W30">
        <v>1798</v>
      </c>
      <c r="X30">
        <v>0</v>
      </c>
      <c r="Y30">
        <v>0</v>
      </c>
      <c r="AB30">
        <v>5580</v>
      </c>
      <c r="AC30">
        <v>12183</v>
      </c>
      <c r="AD30">
        <v>403</v>
      </c>
      <c r="AE30">
        <v>4774</v>
      </c>
      <c r="AF30">
        <v>0</v>
      </c>
      <c r="AG30">
        <v>1426</v>
      </c>
      <c r="AH30">
        <v>5270</v>
      </c>
      <c r="AI30">
        <v>1054</v>
      </c>
      <c r="AJ30" s="5">
        <f>SUM(C30:AI30)</f>
        <v>77686</v>
      </c>
      <c r="AK30">
        <f>+AB30+Q30+V30+AC30+AE30+AF30+S30</f>
        <v>43431</v>
      </c>
      <c r="AL30" s="20">
        <f>+C30+E30+I30+N30+P30+R30+X30+D30+AH30+W30</f>
        <v>20150</v>
      </c>
      <c r="AM30">
        <f>+B30+F30+O30+Y30+AD30+AI30+AG30+K30+L30+U30+T30+Z30+AA30+M30+J30+H30+G30</f>
        <v>14105</v>
      </c>
      <c r="AN30">
        <f>+P30+U30+X30+AI30+N30+I30+F30</f>
        <v>13206</v>
      </c>
      <c r="AO30" s="20">
        <f>+B30+C30+J30+K30+L30+O30+Q30+R30+V30+Y30+AB30+AC30+AD30+AE30+AF30+AG30+S30+D30+AH30+W30+M30+E30+G30</f>
        <v>62620</v>
      </c>
      <c r="AP30">
        <f>+AA30+Z30+T30+H30</f>
        <v>1860</v>
      </c>
      <c r="AQ30">
        <f>+AK30+AL30+AM30</f>
        <v>77686</v>
      </c>
      <c r="AR30">
        <f>+AN30+AO30+AP30</f>
        <v>77686</v>
      </c>
    </row>
    <row r="31" spans="1:44" x14ac:dyDescent="0.2">
      <c r="A31" t="s">
        <v>2</v>
      </c>
      <c r="C31">
        <v>372</v>
      </c>
      <c r="E31">
        <v>0</v>
      </c>
      <c r="F31">
        <f>+F30*0.52</f>
        <v>1757.0800000000002</v>
      </c>
      <c r="G31">
        <v>359</v>
      </c>
      <c r="H31">
        <f>+H30*0.263</f>
        <v>114.14200000000001</v>
      </c>
      <c r="I31">
        <f>+I30*0.391</f>
        <v>1066.6480000000001</v>
      </c>
      <c r="J31">
        <f>+J30*0.88</f>
        <v>1554.96</v>
      </c>
      <c r="K31">
        <v>836</v>
      </c>
      <c r="L31">
        <v>484</v>
      </c>
      <c r="M31">
        <v>113</v>
      </c>
      <c r="N31">
        <v>893</v>
      </c>
      <c r="O31">
        <v>372</v>
      </c>
      <c r="P31">
        <v>2022</v>
      </c>
      <c r="R31">
        <f>+R30*0.382</f>
        <v>1314.462</v>
      </c>
      <c r="S31">
        <f>+S30*0.315</f>
        <v>2050.65</v>
      </c>
      <c r="T31">
        <f>+T30*0.488</f>
        <v>695.88800000000003</v>
      </c>
      <c r="U31">
        <f>+U30*0.6</f>
        <v>465</v>
      </c>
      <c r="V31">
        <v>4923</v>
      </c>
      <c r="W31">
        <f>+W30*0.39</f>
        <v>701.22</v>
      </c>
      <c r="X31">
        <v>0</v>
      </c>
      <c r="Y31">
        <v>0</v>
      </c>
      <c r="AB31">
        <f>+AB30*0.3961</f>
        <v>2210.2379999999998</v>
      </c>
      <c r="AC31">
        <f>+AC30*0.9202</f>
        <v>11210.7966</v>
      </c>
      <c r="AD31">
        <v>246</v>
      </c>
      <c r="AE31">
        <v>3819</v>
      </c>
      <c r="AF31">
        <v>0</v>
      </c>
      <c r="AG31">
        <v>1252</v>
      </c>
      <c r="AH31">
        <v>3809</v>
      </c>
      <c r="AI31">
        <f>+AI30*0.1129</f>
        <v>118.9966</v>
      </c>
      <c r="AJ31" s="5">
        <f>SUM(C31:AI31)</f>
        <v>42760.081200000001</v>
      </c>
      <c r="AK31">
        <f>+AB31+Q31+V31+AC31+AE31+AF31+S31</f>
        <v>24213.684600000001</v>
      </c>
      <c r="AL31" s="20">
        <f>+C31+E31+I31+N31+P31+R31+X31+D31+AH31+W31</f>
        <v>10178.33</v>
      </c>
      <c r="AM31">
        <f>+B31+F31+O31+Y31+AD31+AI31+AG31+K31+L31+U31+T31+Z31+AA31+M31+J31+H31+G31</f>
        <v>8368.0666000000001</v>
      </c>
      <c r="AN31">
        <f>+P31+U31+X31+AI31+N31+I31+F31</f>
        <v>6322.7245999999996</v>
      </c>
      <c r="AO31" s="20">
        <f>+B31+C31+J31+K31+L31+O31+Q31+R31+V31+Y31+AB31+AC31+AD31+AE31+AF31+AG31+S31+D31+AH31+W31+M31+E31+G31</f>
        <v>35627.3266</v>
      </c>
      <c r="AP31">
        <f>+AA31+Z31+T31+H31</f>
        <v>810.03000000000009</v>
      </c>
      <c r="AQ31">
        <f>+AK31+AL31+AM31</f>
        <v>42760.081200000001</v>
      </c>
      <c r="AR31">
        <f>+AN31+AO31+AP31</f>
        <v>42760.081200000001</v>
      </c>
    </row>
    <row r="32" spans="1:44" x14ac:dyDescent="0.2">
      <c r="A32" t="s">
        <v>4</v>
      </c>
      <c r="C32" s="3">
        <f>+C31/C30</f>
        <v>0.22641509433962265</v>
      </c>
      <c r="D32" s="3"/>
      <c r="E32" s="3">
        <v>0</v>
      </c>
      <c r="F32" s="3">
        <f t="shared" ref="F32:L32" si="15">+F31/F30</f>
        <v>0.52</v>
      </c>
      <c r="G32" s="3">
        <f t="shared" si="15"/>
        <v>0.68121442125237197</v>
      </c>
      <c r="H32" s="3">
        <f t="shared" si="15"/>
        <v>0.26300000000000001</v>
      </c>
      <c r="I32" s="3">
        <f t="shared" si="15"/>
        <v>0.39100000000000007</v>
      </c>
      <c r="J32" s="3">
        <f t="shared" si="15"/>
        <v>0.88</v>
      </c>
      <c r="K32" s="3">
        <f t="shared" si="15"/>
        <v>0.70967741935483875</v>
      </c>
      <c r="L32" s="3">
        <f t="shared" si="15"/>
        <v>0.62451612903225806</v>
      </c>
      <c r="M32" s="3">
        <f t="shared" ref="M32:W32" si="16">+M31/M30</f>
        <v>0.26036866359447003</v>
      </c>
      <c r="N32" s="3">
        <f t="shared" si="16"/>
        <v>0.40008960573476704</v>
      </c>
      <c r="O32" s="3">
        <f t="shared" si="16"/>
        <v>0.70588235294117652</v>
      </c>
      <c r="P32" s="3">
        <f t="shared" si="16"/>
        <v>0.66556945358788677</v>
      </c>
      <c r="Q32" s="3" t="e">
        <f t="shared" si="16"/>
        <v>#DIV/0!</v>
      </c>
      <c r="R32" s="3">
        <f t="shared" si="16"/>
        <v>0.38200000000000001</v>
      </c>
      <c r="S32" s="3">
        <f t="shared" si="16"/>
        <v>0.315</v>
      </c>
      <c r="T32" s="3">
        <f t="shared" si="16"/>
        <v>0.48800000000000004</v>
      </c>
      <c r="U32" s="3">
        <f t="shared" si="16"/>
        <v>0.6</v>
      </c>
      <c r="V32" s="3">
        <f t="shared" si="16"/>
        <v>0.34225528364849833</v>
      </c>
      <c r="W32" s="3">
        <f t="shared" si="16"/>
        <v>0.39</v>
      </c>
      <c r="X32" s="3">
        <v>0</v>
      </c>
      <c r="Y32" s="3">
        <v>0</v>
      </c>
      <c r="Z32" s="3"/>
      <c r="AA32" s="3" t="e">
        <f>+AA31/AA30</f>
        <v>#DIV/0!</v>
      </c>
      <c r="AB32" s="3">
        <f>+AB31/AB30</f>
        <v>0.39609999999999995</v>
      </c>
      <c r="AC32" s="3">
        <f>+AC31/AC30</f>
        <v>0.92020000000000002</v>
      </c>
      <c r="AD32" s="3">
        <f>+AD31/AD30</f>
        <v>0.61042183622828783</v>
      </c>
      <c r="AE32" s="3">
        <f>+AE31/AE30</f>
        <v>0.79995810640971932</v>
      </c>
      <c r="AF32" s="3">
        <v>0</v>
      </c>
      <c r="AG32" s="3">
        <f t="shared" ref="AG32:AP32" si="17">+AG31/AG30</f>
        <v>0.87798036465638152</v>
      </c>
      <c r="AH32" s="3">
        <f t="shared" si="17"/>
        <v>0.72277039848197344</v>
      </c>
      <c r="AI32" s="3">
        <f t="shared" si="17"/>
        <v>0.1129</v>
      </c>
      <c r="AJ32" s="6">
        <f t="shared" si="17"/>
        <v>0.55042197049661457</v>
      </c>
      <c r="AK32" s="3">
        <f t="shared" si="17"/>
        <v>0.55752077087794438</v>
      </c>
      <c r="AL32" s="3">
        <f t="shared" si="17"/>
        <v>0.5051280397022333</v>
      </c>
      <c r="AM32" s="3">
        <f t="shared" si="17"/>
        <v>0.59326952144629563</v>
      </c>
      <c r="AN32" s="3">
        <f t="shared" si="17"/>
        <v>0.47877666212327724</v>
      </c>
      <c r="AO32" s="3">
        <f t="shared" si="17"/>
        <v>0.56894485148514851</v>
      </c>
      <c r="AP32" s="3">
        <f t="shared" si="17"/>
        <v>0.43550000000000005</v>
      </c>
    </row>
    <row r="33" spans="1:44" x14ac:dyDescent="0.2">
      <c r="A33" s="20"/>
      <c r="B33" s="20"/>
      <c r="C33" s="20">
        <v>1</v>
      </c>
      <c r="D33" s="20"/>
      <c r="E33" s="20"/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/>
      <c r="Y33" s="20"/>
      <c r="Z33" s="20"/>
      <c r="AA33" s="20"/>
      <c r="AB33" s="20">
        <v>1</v>
      </c>
      <c r="AC33" s="20">
        <v>1</v>
      </c>
      <c r="AD33" s="20">
        <v>1</v>
      </c>
      <c r="AE33" s="20">
        <v>1</v>
      </c>
      <c r="AF33" s="20"/>
      <c r="AG33" s="20">
        <v>1</v>
      </c>
      <c r="AH33" s="20">
        <v>1</v>
      </c>
      <c r="AI33" s="20">
        <v>1</v>
      </c>
      <c r="AJ33" s="19">
        <f>SUM(C33:AI33)</f>
        <v>25</v>
      </c>
      <c r="AK33" s="20">
        <f>+AB33+Q33+V33+AC33+AE33+AF33+S33</f>
        <v>5</v>
      </c>
      <c r="AL33" s="20">
        <f>+C33+E33+I33+N33+P33+R33+X33+D33+AH33+W33</f>
        <v>7</v>
      </c>
      <c r="AM33" s="20">
        <f>+B33+F33+O33+Y33+AD33+AI33+AG33+K33+L33+U33+T33+Z33+AA33+M33+J33+H33+G33</f>
        <v>13</v>
      </c>
      <c r="AN33" s="20">
        <f>+P33+U33+X33+AI33+N33+I33+F33</f>
        <v>6</v>
      </c>
      <c r="AO33" s="20">
        <f>+B33+C33+J33+K33+L33+O33+Q33+R33+V33+Y33+AB33+AC33+AD33+AE33+AF33+AG33+S33+D33+AH33+W33+M33+E33+G33</f>
        <v>17</v>
      </c>
      <c r="AP33" s="20">
        <f>+AA33+Z33+T33+H33</f>
        <v>2</v>
      </c>
    </row>
    <row r="34" spans="1:44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19"/>
      <c r="AK34" s="20"/>
      <c r="AL34" s="20"/>
      <c r="AM34" s="20"/>
      <c r="AN34" s="20"/>
      <c r="AO34" s="20"/>
      <c r="AP34" s="20"/>
    </row>
    <row r="35" spans="1:44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A35" s="1"/>
      <c r="AB35" s="1"/>
      <c r="AC35" s="1"/>
      <c r="AD35" s="1"/>
      <c r="AE35" s="1"/>
      <c r="AF35" s="1"/>
      <c r="AJ35" s="5"/>
    </row>
    <row r="36" spans="1:44" x14ac:dyDescent="0.2">
      <c r="A36" t="s">
        <v>1</v>
      </c>
      <c r="C36">
        <v>1590</v>
      </c>
      <c r="E36">
        <v>0</v>
      </c>
      <c r="F36">
        <v>3270</v>
      </c>
      <c r="G36">
        <v>510</v>
      </c>
      <c r="H36">
        <v>420</v>
      </c>
      <c r="I36">
        <v>2640</v>
      </c>
      <c r="J36">
        <v>1710</v>
      </c>
      <c r="K36">
        <v>1140</v>
      </c>
      <c r="L36">
        <v>750</v>
      </c>
      <c r="M36">
        <v>420</v>
      </c>
      <c r="N36">
        <v>2160</v>
      </c>
      <c r="O36">
        <v>0</v>
      </c>
      <c r="P36">
        <v>2940</v>
      </c>
      <c r="R36">
        <v>3330</v>
      </c>
      <c r="S36">
        <v>6300</v>
      </c>
      <c r="T36">
        <v>1380</v>
      </c>
      <c r="U36">
        <v>775</v>
      </c>
      <c r="V36">
        <v>13920</v>
      </c>
      <c r="W36">
        <v>1620</v>
      </c>
      <c r="X36">
        <v>0</v>
      </c>
      <c r="Y36">
        <v>750</v>
      </c>
      <c r="AB36">
        <v>5400</v>
      </c>
      <c r="AC36">
        <v>11790</v>
      </c>
      <c r="AD36">
        <v>390</v>
      </c>
      <c r="AE36">
        <v>4410</v>
      </c>
      <c r="AF36">
        <v>0</v>
      </c>
      <c r="AG36">
        <v>1368</v>
      </c>
      <c r="AH36">
        <v>5220</v>
      </c>
      <c r="AI36">
        <v>0</v>
      </c>
      <c r="AJ36" s="5">
        <f>SUM(C36:AI36)</f>
        <v>74203</v>
      </c>
      <c r="AK36">
        <f>+AB36+Q36+V36+AC36+AE36+AF36+S36</f>
        <v>41820</v>
      </c>
      <c r="AL36" s="20">
        <f>+C36+E36+I36+N36+P36+R36+X36+D36+AH36+W36</f>
        <v>19500</v>
      </c>
      <c r="AM36">
        <f>+B36+F36+O36+Y36+AD36+AI36+AG36+K36+L36+U36+T36+Z36+AA36+M36+J36+H36+G36</f>
        <v>12883</v>
      </c>
      <c r="AN36">
        <f>+P36+U36+X36+AI36+N36+I36+F36</f>
        <v>11785</v>
      </c>
      <c r="AO36" s="20">
        <f>+B36+C36+J36+K36+L36+O36+Q36+R36+V36+Y36+AB36+AC36+AD36+AE36+AF36+AG36+S36+D36+AH36+W36+M36+E36+G36</f>
        <v>60618</v>
      </c>
      <c r="AP36">
        <f>+AA36+Z36+T36+H36</f>
        <v>1800</v>
      </c>
      <c r="AQ36">
        <f>+AK36+AL36+AM36</f>
        <v>74203</v>
      </c>
      <c r="AR36">
        <f>+AN36+AO36+AP36</f>
        <v>74203</v>
      </c>
    </row>
    <row r="37" spans="1:44" x14ac:dyDescent="0.2">
      <c r="A37" t="s">
        <v>2</v>
      </c>
      <c r="C37">
        <v>333</v>
      </c>
      <c r="E37">
        <v>0</v>
      </c>
      <c r="F37">
        <f>+F36*0.27</f>
        <v>882.90000000000009</v>
      </c>
      <c r="G37">
        <v>295</v>
      </c>
      <c r="H37">
        <v>70</v>
      </c>
      <c r="I37">
        <v>834</v>
      </c>
      <c r="J37">
        <f>+J36*0.85</f>
        <v>1453.5</v>
      </c>
      <c r="K37">
        <v>673</v>
      </c>
      <c r="L37">
        <f>+L36*0.72</f>
        <v>540</v>
      </c>
      <c r="M37">
        <v>14</v>
      </c>
      <c r="N37">
        <v>522</v>
      </c>
      <c r="O37">
        <v>0</v>
      </c>
      <c r="P37">
        <v>1754</v>
      </c>
      <c r="R37">
        <f>+R36*0.242</f>
        <v>805.86</v>
      </c>
      <c r="S37">
        <f>+S36*0.461</f>
        <v>2904.3</v>
      </c>
      <c r="T37">
        <f>+T36*0.447</f>
        <v>616.86</v>
      </c>
      <c r="U37">
        <f>+U36*0.7</f>
        <v>542.5</v>
      </c>
      <c r="V37">
        <v>4026</v>
      </c>
      <c r="W37">
        <f>+W36*0.411</f>
        <v>665.81999999999994</v>
      </c>
      <c r="X37">
        <v>0</v>
      </c>
      <c r="Y37">
        <v>23</v>
      </c>
      <c r="AB37">
        <f>+AB36*0.3811</f>
        <v>2057.94</v>
      </c>
      <c r="AC37">
        <v>10993</v>
      </c>
      <c r="AD37">
        <v>177</v>
      </c>
      <c r="AE37">
        <v>2960</v>
      </c>
      <c r="AF37">
        <v>0</v>
      </c>
      <c r="AG37">
        <v>984</v>
      </c>
      <c r="AH37">
        <v>3372</v>
      </c>
      <c r="AI37">
        <v>0</v>
      </c>
      <c r="AJ37" s="5">
        <f>SUM(C37:AI37)</f>
        <v>37499.68</v>
      </c>
      <c r="AK37">
        <f>+AB37+Q37+V37+AC37+AE37+AF37+S37</f>
        <v>22941.24</v>
      </c>
      <c r="AL37" s="20">
        <f>+C37+E37+I37+N37+P37+R37+X37+D37+AH37+W37</f>
        <v>8286.68</v>
      </c>
      <c r="AM37">
        <f>+B37+F37+O37+Y37+AD37+AI37+AG37+K37+L37+U37+T37+Z37+AA37+M37+J37+H37+G37</f>
        <v>6271.76</v>
      </c>
      <c r="AN37">
        <f>+P37+U37+X37+AI37+N37+I37+F37</f>
        <v>4535.3999999999996</v>
      </c>
      <c r="AO37" s="20">
        <f>+B37+C37+J37+K37+L37+O37+Q37+R37+V37+Y37+AB37+AC37+AD37+AE37+AF37+AG37+S37+D37+AH37+W37+M37+E37+G37</f>
        <v>32277.420000000002</v>
      </c>
      <c r="AP37">
        <f>+AA37+Z37+T37+H37</f>
        <v>686.86</v>
      </c>
      <c r="AQ37">
        <f>+AK37+AL37+AM37</f>
        <v>37499.68</v>
      </c>
      <c r="AR37">
        <f>+AN37+AO37+AP37</f>
        <v>37499.68</v>
      </c>
    </row>
    <row r="38" spans="1:44" x14ac:dyDescent="0.2">
      <c r="A38" t="s">
        <v>4</v>
      </c>
      <c r="C38" s="3">
        <f>+C37/C36</f>
        <v>0.20943396226415095</v>
      </c>
      <c r="D38" s="3"/>
      <c r="E38" s="3">
        <v>0</v>
      </c>
      <c r="F38" s="3">
        <f t="shared" ref="F38:L38" si="18">+F37/F36</f>
        <v>0.27</v>
      </c>
      <c r="G38" s="3">
        <f t="shared" si="18"/>
        <v>0.57843137254901966</v>
      </c>
      <c r="H38" s="3">
        <f t="shared" si="18"/>
        <v>0.16666666666666666</v>
      </c>
      <c r="I38" s="3">
        <f t="shared" si="18"/>
        <v>0.31590909090909092</v>
      </c>
      <c r="J38" s="3">
        <f t="shared" si="18"/>
        <v>0.85</v>
      </c>
      <c r="K38" s="3">
        <f t="shared" si="18"/>
        <v>0.5903508771929824</v>
      </c>
      <c r="L38" s="3">
        <f t="shared" si="18"/>
        <v>0.72</v>
      </c>
      <c r="M38" s="3">
        <f>+M37/M36</f>
        <v>3.3333333333333333E-2</v>
      </c>
      <c r="N38" s="3">
        <f>+N37/N36</f>
        <v>0.24166666666666667</v>
      </c>
      <c r="O38" s="3">
        <v>0</v>
      </c>
      <c r="P38" s="3">
        <f t="shared" ref="P38:Y38" si="19">+P37/P36</f>
        <v>0.59659863945578229</v>
      </c>
      <c r="Q38" s="3" t="e">
        <f t="shared" si="19"/>
        <v>#DIV/0!</v>
      </c>
      <c r="R38" s="3">
        <f t="shared" si="19"/>
        <v>0.24199999999999999</v>
      </c>
      <c r="S38" s="3">
        <f t="shared" si="19"/>
        <v>0.46100000000000002</v>
      </c>
      <c r="T38" s="3">
        <f t="shared" si="19"/>
        <v>0.44700000000000001</v>
      </c>
      <c r="U38" s="3">
        <f t="shared" si="19"/>
        <v>0.7</v>
      </c>
      <c r="V38" s="3">
        <f t="shared" si="19"/>
        <v>0.28922413793103446</v>
      </c>
      <c r="W38" s="3">
        <f t="shared" si="19"/>
        <v>0.41099999999999998</v>
      </c>
      <c r="X38" s="3">
        <v>0</v>
      </c>
      <c r="Y38" s="3">
        <f t="shared" si="19"/>
        <v>3.0666666666666665E-2</v>
      </c>
      <c r="Z38" s="3"/>
      <c r="AA38" s="3" t="s">
        <v>15</v>
      </c>
      <c r="AB38" s="3">
        <f t="shared" ref="AB38:AJ38" si="20">+AB37/AB36</f>
        <v>0.38109999999999999</v>
      </c>
      <c r="AC38" s="3">
        <f t="shared" si="20"/>
        <v>0.93240033927056831</v>
      </c>
      <c r="AD38" s="3">
        <f t="shared" si="20"/>
        <v>0.45384615384615384</v>
      </c>
      <c r="AE38" s="3">
        <f t="shared" si="20"/>
        <v>0.67120181405895696</v>
      </c>
      <c r="AF38" s="3">
        <v>0</v>
      </c>
      <c r="AG38" s="3">
        <f t="shared" si="20"/>
        <v>0.7192982456140351</v>
      </c>
      <c r="AH38" s="3">
        <f t="shared" si="20"/>
        <v>0.64597701149425291</v>
      </c>
      <c r="AI38" s="3">
        <v>0</v>
      </c>
      <c r="AJ38" s="6">
        <f t="shared" si="20"/>
        <v>0.5053660903197984</v>
      </c>
      <c r="AK38" s="3">
        <f t="shared" ref="AK38:AP38" si="21">+AK37/AK36</f>
        <v>0.54857101865136304</v>
      </c>
      <c r="AL38" s="3">
        <f t="shared" si="21"/>
        <v>0.42495794871794873</v>
      </c>
      <c r="AM38" s="3">
        <f t="shared" si="21"/>
        <v>0.48682449739967398</v>
      </c>
      <c r="AN38" s="3">
        <f t="shared" si="21"/>
        <v>0.38484514212982601</v>
      </c>
      <c r="AO38" s="3">
        <f t="shared" si="21"/>
        <v>0.53247253291101659</v>
      </c>
      <c r="AP38" s="3">
        <f t="shared" si="21"/>
        <v>0.38158888888888892</v>
      </c>
    </row>
    <row r="39" spans="1:44" x14ac:dyDescent="0.2">
      <c r="A39" s="20"/>
      <c r="B39" s="20"/>
      <c r="C39" s="20">
        <v>1</v>
      </c>
      <c r="D39" s="20"/>
      <c r="E39" s="20"/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>
        <v>1</v>
      </c>
      <c r="L39" s="20">
        <v>1</v>
      </c>
      <c r="M39" s="20">
        <v>1</v>
      </c>
      <c r="N39" s="20">
        <v>1</v>
      </c>
      <c r="O39" s="20"/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/>
      <c r="Y39" s="20">
        <v>1</v>
      </c>
      <c r="Z39" s="20"/>
      <c r="AA39" s="20"/>
      <c r="AB39" s="20">
        <v>1</v>
      </c>
      <c r="AC39" s="20">
        <v>1</v>
      </c>
      <c r="AD39" s="20">
        <v>1</v>
      </c>
      <c r="AE39" s="20">
        <v>1</v>
      </c>
      <c r="AF39" s="20"/>
      <c r="AG39" s="20">
        <v>1</v>
      </c>
      <c r="AH39" s="20">
        <v>1</v>
      </c>
      <c r="AI39" s="20"/>
      <c r="AJ39" s="19">
        <f>SUM(C39:AI39)</f>
        <v>24</v>
      </c>
      <c r="AK39" s="20">
        <f>+AB39+Q39+V39+AC39+AE39+AF39+S39</f>
        <v>5</v>
      </c>
      <c r="AL39" s="20">
        <f>+C39+E39+I39+N39+P39+R39+X39+D39+AH39+W39</f>
        <v>7</v>
      </c>
      <c r="AM39" s="20">
        <f>+B39+F39+O39+Y39+AD39+AI39+AG39+K39+L39+U39+T39+Z39+AA39+M39+J39+H39+G39</f>
        <v>12</v>
      </c>
      <c r="AN39" s="20">
        <f>+P39+U39+X39+AI39+N39+I39+F39</f>
        <v>5</v>
      </c>
      <c r="AO39" s="20">
        <f>+B39+C39+J39+K39+L39+O39+Q39+R39+V39+Y39+AB39+AC39+AD39+AE39+AF39+AG39+S39+D39+AH39+W39+M39+E39+G39</f>
        <v>17</v>
      </c>
      <c r="AP39" s="20">
        <f>+AA39+Z39+T39+H39</f>
        <v>2</v>
      </c>
    </row>
    <row r="40" spans="1:44" x14ac:dyDescent="0.2">
      <c r="I40" s="5"/>
    </row>
    <row r="41" spans="1:44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J41" s="5"/>
    </row>
    <row r="42" spans="1:44" x14ac:dyDescent="0.2">
      <c r="A42" t="s">
        <v>1</v>
      </c>
      <c r="C42">
        <v>1643</v>
      </c>
      <c r="E42">
        <v>0</v>
      </c>
      <c r="F42">
        <v>3379</v>
      </c>
      <c r="G42">
        <v>527</v>
      </c>
      <c r="H42">
        <v>406</v>
      </c>
      <c r="I42">
        <v>2728</v>
      </c>
      <c r="J42">
        <v>1767</v>
      </c>
      <c r="K42">
        <v>1178</v>
      </c>
      <c r="L42">
        <v>775</v>
      </c>
      <c r="N42">
        <v>2160</v>
      </c>
      <c r="P42">
        <v>3038</v>
      </c>
      <c r="R42">
        <v>3441</v>
      </c>
      <c r="S42">
        <v>6510</v>
      </c>
      <c r="T42">
        <v>1426</v>
      </c>
      <c r="U42">
        <v>775</v>
      </c>
      <c r="V42">
        <v>14384</v>
      </c>
      <c r="W42">
        <v>1798</v>
      </c>
      <c r="Y42">
        <v>750</v>
      </c>
      <c r="AB42">
        <v>5580</v>
      </c>
      <c r="AC42">
        <v>12183</v>
      </c>
      <c r="AD42">
        <v>403</v>
      </c>
      <c r="AE42">
        <v>4588</v>
      </c>
      <c r="AF42">
        <v>0</v>
      </c>
      <c r="AG42">
        <v>1428</v>
      </c>
      <c r="AH42">
        <v>5518</v>
      </c>
      <c r="AI42">
        <v>0</v>
      </c>
      <c r="AJ42" s="5">
        <f>SUM(C42:AI42)</f>
        <v>76385</v>
      </c>
      <c r="AK42">
        <f>+AB42+Q42+V42+AC42+AE42+AF42+S42</f>
        <v>43245</v>
      </c>
      <c r="AL42" s="20">
        <f>+C42+E42+I42+N42+P42+R42+X42+D42+AH42+W42</f>
        <v>20326</v>
      </c>
      <c r="AM42">
        <f>+B42+F42+O42+Y42+AD42+AI42+AG42+K42+L42+U42+T42+Z42+AA42+M42+J42+H42+G42</f>
        <v>12814</v>
      </c>
      <c r="AN42">
        <f>+P42+U42+X42+AI42+N42+I42+F42</f>
        <v>12080</v>
      </c>
      <c r="AO42" s="20">
        <f>+B42+C42+J42+K42+L42+O42+Q42+R42+V42+Y42+AB42+AC42+AD42+AE42+AF42+AG42+S42+D42+AH42+W42+M42+E42+G42</f>
        <v>62473</v>
      </c>
      <c r="AP42">
        <f>+AA42+Z42+T42+H42</f>
        <v>1832</v>
      </c>
      <c r="AQ42">
        <f>+AK42+AL42+AM42</f>
        <v>76385</v>
      </c>
    </row>
    <row r="43" spans="1:44" x14ac:dyDescent="0.2">
      <c r="A43" t="s">
        <v>2</v>
      </c>
      <c r="C43">
        <v>357</v>
      </c>
      <c r="E43">
        <v>0</v>
      </c>
      <c r="F43">
        <v>845</v>
      </c>
      <c r="G43">
        <v>288</v>
      </c>
      <c r="H43">
        <v>90</v>
      </c>
      <c r="I43">
        <f>+I42*0.503</f>
        <v>1372.184</v>
      </c>
      <c r="J43">
        <f>+J42*0.76</f>
        <v>1342.92</v>
      </c>
      <c r="K43">
        <f>+K42*0.56</f>
        <v>659.68000000000006</v>
      </c>
      <c r="L43">
        <v>574</v>
      </c>
      <c r="N43">
        <v>554</v>
      </c>
      <c r="P43">
        <v>1336</v>
      </c>
      <c r="R43">
        <f>+R42*0.442</f>
        <v>1520.922</v>
      </c>
      <c r="S43">
        <f>+S42*0.21</f>
        <v>1367.1</v>
      </c>
      <c r="T43">
        <v>761</v>
      </c>
      <c r="U43">
        <f>+U42*0.84</f>
        <v>651</v>
      </c>
      <c r="V43">
        <v>5435</v>
      </c>
      <c r="W43">
        <f>+W42*0.671</f>
        <v>1206.4580000000001</v>
      </c>
      <c r="Y43">
        <v>24</v>
      </c>
      <c r="AB43">
        <f>+AB42*0.502</f>
        <v>2801.16</v>
      </c>
      <c r="AC43">
        <f>+AC42*0.871</f>
        <v>10611.393</v>
      </c>
      <c r="AD43">
        <v>136</v>
      </c>
      <c r="AE43">
        <v>3304</v>
      </c>
      <c r="AF43">
        <v>0</v>
      </c>
      <c r="AG43">
        <v>1212</v>
      </c>
      <c r="AH43">
        <v>3297</v>
      </c>
      <c r="AI43">
        <v>0</v>
      </c>
      <c r="AJ43" s="5">
        <f>SUM(C43:AI43)</f>
        <v>39745.816999999995</v>
      </c>
      <c r="AK43">
        <f>+AB43+Q43+V43+AC43+AE43+AF43+S43</f>
        <v>23518.652999999998</v>
      </c>
      <c r="AL43" s="20">
        <f>+C43+E43+I43+N43+P43+R43+X43+D43+AH43+W43</f>
        <v>9643.5640000000003</v>
      </c>
      <c r="AM43">
        <f>+B43+F43+O43+Y43+AD43+AI43+AG43+K43+L43+U43+T43+Z43+AA43+M43+J43+H43+G43</f>
        <v>6583.6</v>
      </c>
      <c r="AN43">
        <f>+P43+U43+X43+AI43+N43+I43+F43</f>
        <v>4758.1840000000002</v>
      </c>
      <c r="AO43" s="20">
        <f>+B43+C43+J43+K43+L43+O43+Q43+R43+V43+Y43+AB43+AC43+AD43+AE43+AF43+AG43+S43+D43+AH43+W43+M43+E43+G43</f>
        <v>34136.633000000002</v>
      </c>
      <c r="AP43">
        <f>+AA43+Z43+T43+H43</f>
        <v>851</v>
      </c>
      <c r="AQ43">
        <f>+AK43+AL43+AM43</f>
        <v>39745.816999999995</v>
      </c>
    </row>
    <row r="44" spans="1:44" x14ac:dyDescent="0.2">
      <c r="A44" t="s">
        <v>4</v>
      </c>
      <c r="C44" s="3">
        <f>+C43/C42</f>
        <v>0.21728545343883141</v>
      </c>
      <c r="D44" s="3"/>
      <c r="E44" s="3">
        <v>0</v>
      </c>
      <c r="F44" s="3">
        <f t="shared" ref="F44:L44" si="22">+F43/F42</f>
        <v>0.25007398638650491</v>
      </c>
      <c r="G44" s="3">
        <f t="shared" si="22"/>
        <v>0.54648956356736245</v>
      </c>
      <c r="H44" s="3">
        <f t="shared" si="22"/>
        <v>0.22167487684729065</v>
      </c>
      <c r="I44" s="3">
        <f t="shared" si="22"/>
        <v>0.503</v>
      </c>
      <c r="J44" s="3">
        <f t="shared" si="22"/>
        <v>0.76</v>
      </c>
      <c r="K44" s="3">
        <f t="shared" si="22"/>
        <v>0.56000000000000005</v>
      </c>
      <c r="L44" s="3">
        <f t="shared" si="22"/>
        <v>0.74064516129032254</v>
      </c>
      <c r="M44" s="3">
        <v>0</v>
      </c>
      <c r="N44" s="3">
        <f>+N43/N42</f>
        <v>0.25648148148148148</v>
      </c>
      <c r="O44" s="3">
        <v>0</v>
      </c>
      <c r="P44" s="3">
        <f t="shared" ref="P44:Y44" si="23">+P43/P42</f>
        <v>0.43976300197498353</v>
      </c>
      <c r="Q44" s="3" t="e">
        <f t="shared" si="23"/>
        <v>#DIV/0!</v>
      </c>
      <c r="R44" s="3">
        <f t="shared" si="23"/>
        <v>0.442</v>
      </c>
      <c r="S44" s="3">
        <f t="shared" si="23"/>
        <v>0.21</v>
      </c>
      <c r="T44" s="3">
        <f t="shared" si="23"/>
        <v>0.53366058906030855</v>
      </c>
      <c r="U44" s="3">
        <f t="shared" si="23"/>
        <v>0.84</v>
      </c>
      <c r="V44" s="3">
        <f t="shared" si="23"/>
        <v>0.37785038932146831</v>
      </c>
      <c r="W44" s="3">
        <f t="shared" si="23"/>
        <v>0.67100000000000004</v>
      </c>
      <c r="X44" s="3">
        <v>0</v>
      </c>
      <c r="Y44" s="3">
        <f t="shared" si="23"/>
        <v>3.2000000000000001E-2</v>
      </c>
      <c r="Z44" s="3"/>
      <c r="AA44" s="3">
        <v>0</v>
      </c>
      <c r="AB44" s="3">
        <f t="shared" ref="AB44:AJ44" si="24">+AB43/AB42</f>
        <v>0.502</v>
      </c>
      <c r="AC44" s="3">
        <f t="shared" si="24"/>
        <v>0.871</v>
      </c>
      <c r="AD44" s="3">
        <f t="shared" si="24"/>
        <v>0.33746898263027297</v>
      </c>
      <c r="AE44" s="3">
        <f t="shared" si="24"/>
        <v>0.7201394943330427</v>
      </c>
      <c r="AF44" s="3">
        <v>0</v>
      </c>
      <c r="AG44" s="3">
        <f t="shared" si="24"/>
        <v>0.84873949579831931</v>
      </c>
      <c r="AH44" s="3">
        <f t="shared" si="24"/>
        <v>0.59749909387459221</v>
      </c>
      <c r="AI44" s="3">
        <v>0</v>
      </c>
      <c r="AJ44" s="6">
        <f t="shared" si="24"/>
        <v>0.52033536689140536</v>
      </c>
      <c r="AK44" s="3">
        <f t="shared" ref="AK44:AP44" si="25">+AK43/AK42</f>
        <v>0.54384675685050288</v>
      </c>
      <c r="AL44" s="3">
        <f t="shared" si="25"/>
        <v>0.47444475056577784</v>
      </c>
      <c r="AM44" s="3">
        <f t="shared" si="25"/>
        <v>0.51378180115498673</v>
      </c>
      <c r="AN44" s="3">
        <f t="shared" si="25"/>
        <v>0.39388940397350997</v>
      </c>
      <c r="AO44" s="3">
        <f t="shared" si="25"/>
        <v>0.54642218238278939</v>
      </c>
      <c r="AP44" s="3">
        <f t="shared" si="25"/>
        <v>0.46451965065502182</v>
      </c>
    </row>
    <row r="45" spans="1:44" x14ac:dyDescent="0.2">
      <c r="A45" s="20"/>
      <c r="B45" s="20"/>
      <c r="C45" s="20">
        <v>1</v>
      </c>
      <c r="D45" s="20"/>
      <c r="E45" s="20"/>
      <c r="F45" s="20">
        <v>1</v>
      </c>
      <c r="G45" s="20">
        <v>1</v>
      </c>
      <c r="H45" s="20">
        <v>1</v>
      </c>
      <c r="I45" s="20">
        <v>1</v>
      </c>
      <c r="J45" s="20">
        <v>1</v>
      </c>
      <c r="K45" s="20">
        <v>1</v>
      </c>
      <c r="L45" s="20">
        <v>1</v>
      </c>
      <c r="M45" s="20"/>
      <c r="N45" s="20">
        <v>1</v>
      </c>
      <c r="O45" s="20"/>
      <c r="P45" s="20">
        <v>1</v>
      </c>
      <c r="Q45" s="20"/>
      <c r="R45" s="20">
        <v>1</v>
      </c>
      <c r="S45" s="20">
        <v>1</v>
      </c>
      <c r="T45" s="20">
        <v>1</v>
      </c>
      <c r="U45" s="20">
        <v>1</v>
      </c>
      <c r="V45" s="20">
        <v>1</v>
      </c>
      <c r="W45" s="20">
        <v>1</v>
      </c>
      <c r="X45" s="20"/>
      <c r="Y45" s="20">
        <v>1</v>
      </c>
      <c r="Z45" s="20"/>
      <c r="AA45" s="20"/>
      <c r="AB45" s="20">
        <v>1</v>
      </c>
      <c r="AC45" s="20">
        <v>1</v>
      </c>
      <c r="AD45" s="20">
        <v>1</v>
      </c>
      <c r="AE45" s="20">
        <v>1</v>
      </c>
      <c r="AF45" s="20"/>
      <c r="AG45" s="20">
        <v>1</v>
      </c>
      <c r="AH45" s="20">
        <v>1</v>
      </c>
      <c r="AI45" s="20"/>
      <c r="AJ45" s="19">
        <f>SUM(C45:AI45)</f>
        <v>23</v>
      </c>
      <c r="AK45" s="20">
        <f>+AB45+Q45+V45+AC45+AE45+AF45+S45</f>
        <v>5</v>
      </c>
      <c r="AL45" s="20">
        <f>+C45+E45+I45+N45+P45+R45+X45+D45+AH45+W45</f>
        <v>7</v>
      </c>
      <c r="AM45" s="20">
        <f>+B45+F45+O45+Y45+AD45+AI45+AG45+K45+L45+U45+T45+Z45+AA45+M45+J45+H45+G45</f>
        <v>11</v>
      </c>
      <c r="AN45" s="20">
        <f>+P45+U45+X45+AI45+N45+I45+F45</f>
        <v>5</v>
      </c>
      <c r="AO45" s="20">
        <f>+B45+C45+J45+K45+L45+O45+Q45+R45+V45+Y45+AB45+AC45+AD45+AE45+AF45+AG45+S45+D45+AH45+W45+M45+E45+G45</f>
        <v>16</v>
      </c>
      <c r="AP45" s="20">
        <f>+AA45+Z45+T45+H45</f>
        <v>2</v>
      </c>
    </row>
    <row r="47" spans="1:44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J47" s="5"/>
    </row>
    <row r="48" spans="1:44" x14ac:dyDescent="0.2">
      <c r="A48" t="s">
        <v>1</v>
      </c>
      <c r="C48">
        <v>1643</v>
      </c>
      <c r="E48">
        <v>0</v>
      </c>
      <c r="F48">
        <v>3379</v>
      </c>
      <c r="G48">
        <v>527</v>
      </c>
      <c r="H48">
        <v>406</v>
      </c>
      <c r="I48">
        <v>2728</v>
      </c>
      <c r="J48">
        <v>1767</v>
      </c>
      <c r="K48">
        <v>1178</v>
      </c>
      <c r="L48">
        <v>775</v>
      </c>
      <c r="P48">
        <v>3038</v>
      </c>
      <c r="R48">
        <v>3441</v>
      </c>
      <c r="S48">
        <v>6510</v>
      </c>
      <c r="T48">
        <v>1426</v>
      </c>
      <c r="U48">
        <v>775</v>
      </c>
      <c r="V48">
        <v>14384</v>
      </c>
      <c r="W48">
        <v>1798</v>
      </c>
      <c r="AB48">
        <v>5580</v>
      </c>
      <c r="AC48">
        <v>12183</v>
      </c>
      <c r="AD48">
        <v>403</v>
      </c>
      <c r="AE48">
        <v>4557</v>
      </c>
      <c r="AF48">
        <v>0</v>
      </c>
      <c r="AG48">
        <v>1428</v>
      </c>
      <c r="AH48">
        <v>5394</v>
      </c>
      <c r="AI48">
        <v>0</v>
      </c>
      <c r="AJ48" s="5">
        <f>SUM(C48:AI48)</f>
        <v>73320</v>
      </c>
      <c r="AK48">
        <f>+AB48+Q48+V48+AC48+AE48+AF48+S48</f>
        <v>43214</v>
      </c>
      <c r="AL48" s="20">
        <f>+C48+E48+I48+N48+P48+R48+X48+D48+AH48+W48</f>
        <v>18042</v>
      </c>
      <c r="AM48">
        <f>+B48+F48+O48+Y48+AD48+AI48+AG48+K48+L48+U48+T48+Z48+AA48+M48+J48+H48+G48</f>
        <v>12064</v>
      </c>
      <c r="AN48">
        <f>+P48+U48+X48+AI48+N48+I48+F48</f>
        <v>9920</v>
      </c>
      <c r="AO48" s="20">
        <f>+B48+C48+J48+K48+L48+O48+Q48+R48+V48+Y48+AB48+AC48+AD48+AE48+AF48+AG48+S48+D48+AH48+W48+M48+E48+G48</f>
        <v>61568</v>
      </c>
      <c r="AP48">
        <f>+AA48+Z48+T48+H48</f>
        <v>1832</v>
      </c>
      <c r="AQ48">
        <f>+AK48+AL48+AM48</f>
        <v>73320</v>
      </c>
    </row>
    <row r="49" spans="1:45" x14ac:dyDescent="0.2">
      <c r="A49" t="s">
        <v>2</v>
      </c>
      <c r="C49">
        <v>409</v>
      </c>
      <c r="E49">
        <v>0</v>
      </c>
      <c r="F49">
        <v>879</v>
      </c>
      <c r="G49">
        <v>242</v>
      </c>
      <c r="H49">
        <v>27</v>
      </c>
      <c r="I49">
        <f>+I48*0.507</f>
        <v>1383.096</v>
      </c>
      <c r="J49">
        <f>+J48*0.72</f>
        <v>1272.24</v>
      </c>
      <c r="K49">
        <v>542</v>
      </c>
      <c r="L49">
        <v>550</v>
      </c>
      <c r="P49">
        <v>1095</v>
      </c>
      <c r="R49">
        <f>+R48*0.296</f>
        <v>1018.5359999999999</v>
      </c>
      <c r="S49">
        <f>+S48*0.496</f>
        <v>3228.96</v>
      </c>
      <c r="T49">
        <f>+T48*0.448</f>
        <v>638.84800000000007</v>
      </c>
      <c r="U49">
        <f>+U48*0.5</f>
        <v>387.5</v>
      </c>
      <c r="V49">
        <v>4442</v>
      </c>
      <c r="W49">
        <f>+W48*0.55</f>
        <v>988.90000000000009</v>
      </c>
      <c r="AB49">
        <f>+AB48*0.4432</f>
        <v>2473.056</v>
      </c>
      <c r="AC49">
        <v>9179</v>
      </c>
      <c r="AD49">
        <v>206</v>
      </c>
      <c r="AE49">
        <v>3194</v>
      </c>
      <c r="AF49">
        <v>0</v>
      </c>
      <c r="AG49">
        <v>1184</v>
      </c>
      <c r="AH49">
        <v>3198</v>
      </c>
      <c r="AI49">
        <v>0</v>
      </c>
      <c r="AJ49" s="5">
        <f>SUM(C49:AI49)</f>
        <v>36538.135999999999</v>
      </c>
      <c r="AK49">
        <f>+AB49+Q49+V49+AC49+AE49+AF49+S49</f>
        <v>22517.016</v>
      </c>
      <c r="AL49" s="20">
        <f>+C49+E49+I49+N49+P49+R49+X49+D49+AH49+W49</f>
        <v>8092.5319999999992</v>
      </c>
      <c r="AM49">
        <f>+B49+F49+O49+Y49+AD49+AI49+AG49+K49+L49+U49+T49+Z49+AA49+M49+J49+H49+G49</f>
        <v>5928.5879999999997</v>
      </c>
      <c r="AN49">
        <f>+P49+U49+X49+AI49+N49+I49+F49</f>
        <v>3744.596</v>
      </c>
      <c r="AO49" s="20">
        <f>+B49+C49+J49+K49+L49+O49+Q49+R49+V49+Y49+AB49+AC49+AD49+AE49+AF49+AG49+S49+D49+AH49+W49+M49+E49+G49</f>
        <v>32127.692000000003</v>
      </c>
      <c r="AP49">
        <f>+AA49+Z49+T49+H49</f>
        <v>665.84800000000007</v>
      </c>
      <c r="AQ49">
        <f>+AK49+AL49+AM49</f>
        <v>36538.135999999999</v>
      </c>
    </row>
    <row r="50" spans="1:45" x14ac:dyDescent="0.2">
      <c r="A50" t="s">
        <v>4</v>
      </c>
      <c r="C50" s="3">
        <f>+C49/C48</f>
        <v>0.24893487522824101</v>
      </c>
      <c r="D50" s="3"/>
      <c r="E50" s="3">
        <v>0</v>
      </c>
      <c r="F50" s="3">
        <f t="shared" ref="F50:L50" si="26">+F49/F48</f>
        <v>0.260136134951169</v>
      </c>
      <c r="G50" s="3">
        <f t="shared" si="26"/>
        <v>0.45920303605313095</v>
      </c>
      <c r="H50" s="3">
        <f t="shared" si="26"/>
        <v>6.6502463054187194E-2</v>
      </c>
      <c r="I50" s="3">
        <f t="shared" si="26"/>
        <v>0.50700000000000001</v>
      </c>
      <c r="J50" s="3">
        <f t="shared" si="26"/>
        <v>0.72</v>
      </c>
      <c r="K50" s="3">
        <f t="shared" si="26"/>
        <v>0.46010186757215621</v>
      </c>
      <c r="L50" s="3">
        <f t="shared" si="26"/>
        <v>0.70967741935483875</v>
      </c>
      <c r="M50" s="3">
        <v>0</v>
      </c>
      <c r="N50" s="3">
        <v>0</v>
      </c>
      <c r="O50" s="3">
        <v>0</v>
      </c>
      <c r="P50" s="3">
        <f t="shared" ref="P50:W50" si="27">+P49/P48</f>
        <v>0.36043449637919683</v>
      </c>
      <c r="Q50" s="3" t="e">
        <f t="shared" si="27"/>
        <v>#DIV/0!</v>
      </c>
      <c r="R50" s="3">
        <f t="shared" si="27"/>
        <v>0.29599999999999999</v>
      </c>
      <c r="S50" s="3">
        <f t="shared" si="27"/>
        <v>0.496</v>
      </c>
      <c r="T50" s="3">
        <f t="shared" si="27"/>
        <v>0.44800000000000006</v>
      </c>
      <c r="U50" s="3">
        <f t="shared" si="27"/>
        <v>0.5</v>
      </c>
      <c r="V50" s="3">
        <f t="shared" si="27"/>
        <v>0.30881535038932145</v>
      </c>
      <c r="W50" s="3">
        <f t="shared" si="27"/>
        <v>0.55000000000000004</v>
      </c>
      <c r="X50" s="3">
        <v>0</v>
      </c>
      <c r="Y50" s="3">
        <v>0</v>
      </c>
      <c r="Z50" s="3"/>
      <c r="AA50" s="3">
        <v>0</v>
      </c>
      <c r="AB50" s="3">
        <f t="shared" ref="AB50:AJ50" si="28">+AB49/AB48</f>
        <v>0.44319999999999998</v>
      </c>
      <c r="AC50" s="3">
        <f t="shared" si="28"/>
        <v>0.75342690634490683</v>
      </c>
      <c r="AD50" s="3">
        <f t="shared" si="28"/>
        <v>0.51116625310173702</v>
      </c>
      <c r="AE50" s="3">
        <f t="shared" si="28"/>
        <v>0.70089971472459955</v>
      </c>
      <c r="AF50" s="3">
        <v>0</v>
      </c>
      <c r="AG50" s="3">
        <f t="shared" si="28"/>
        <v>0.82913165266106448</v>
      </c>
      <c r="AH50" s="3">
        <f t="shared" si="28"/>
        <v>0.59288097886540603</v>
      </c>
      <c r="AI50" s="3">
        <v>0</v>
      </c>
      <c r="AJ50" s="6">
        <f t="shared" si="28"/>
        <v>0.49833791598472449</v>
      </c>
      <c r="AK50" s="3">
        <f t="shared" ref="AK50:AP50" si="29">+AK49/AK48</f>
        <v>0.52105836071643452</v>
      </c>
      <c r="AL50" s="3">
        <f t="shared" si="29"/>
        <v>0.44853852122824517</v>
      </c>
      <c r="AM50" s="3">
        <f t="shared" si="29"/>
        <v>0.49142805039787796</v>
      </c>
      <c r="AN50" s="3">
        <f t="shared" si="29"/>
        <v>0.37747943548387097</v>
      </c>
      <c r="AO50" s="3">
        <f t="shared" si="29"/>
        <v>0.52182451923076922</v>
      </c>
      <c r="AP50" s="3">
        <f t="shared" si="29"/>
        <v>0.36345414847161578</v>
      </c>
    </row>
    <row r="51" spans="1:45" x14ac:dyDescent="0.2">
      <c r="A51" s="20"/>
      <c r="B51" s="20"/>
      <c r="C51" s="20">
        <v>1</v>
      </c>
      <c r="D51" s="20"/>
      <c r="E51" s="20"/>
      <c r="F51" s="20">
        <v>1</v>
      </c>
      <c r="G51" s="20">
        <v>1</v>
      </c>
      <c r="H51" s="20">
        <v>1</v>
      </c>
      <c r="I51" s="20">
        <v>1</v>
      </c>
      <c r="J51" s="20">
        <v>1</v>
      </c>
      <c r="K51" s="20">
        <v>1</v>
      </c>
      <c r="L51" s="20">
        <v>1</v>
      </c>
      <c r="M51" s="20"/>
      <c r="N51" s="20"/>
      <c r="O51" s="20"/>
      <c r="P51" s="20">
        <v>1</v>
      </c>
      <c r="Q51" s="20"/>
      <c r="R51" s="20">
        <v>1</v>
      </c>
      <c r="S51" s="20">
        <v>1</v>
      </c>
      <c r="T51" s="20">
        <v>1</v>
      </c>
      <c r="U51" s="20">
        <v>1</v>
      </c>
      <c r="V51" s="20">
        <v>1</v>
      </c>
      <c r="W51" s="20">
        <v>1</v>
      </c>
      <c r="X51" s="20"/>
      <c r="Y51" s="20"/>
      <c r="Z51" s="20"/>
      <c r="AA51" s="20"/>
      <c r="AB51" s="20">
        <v>1</v>
      </c>
      <c r="AC51" s="20">
        <v>1</v>
      </c>
      <c r="AD51" s="20">
        <v>1</v>
      </c>
      <c r="AE51" s="20">
        <v>1</v>
      </c>
      <c r="AF51" s="20"/>
      <c r="AG51" s="20">
        <v>1</v>
      </c>
      <c r="AH51" s="20">
        <v>1</v>
      </c>
      <c r="AI51" s="20"/>
      <c r="AJ51" s="19">
        <f>SUM(C51:AI51)</f>
        <v>21</v>
      </c>
      <c r="AK51" s="20">
        <f>+AB51+Q51+V51+AC51+AE51+AF51+S51</f>
        <v>5</v>
      </c>
      <c r="AL51" s="20">
        <f>+C51+E51+I51+N51+P51+R51+X51+D51+AH51+W51</f>
        <v>6</v>
      </c>
      <c r="AM51" s="20">
        <f>+B51+F51+O51+Y51+AD51+AI51+AG51+K51+L51+U51+T51+Z51+AA51+M51+J51+H51+G51</f>
        <v>10</v>
      </c>
      <c r="AN51" s="20">
        <f>+P51+U51+X51+AI51+N51+I51+F51</f>
        <v>4</v>
      </c>
      <c r="AO51" s="20">
        <f>+B51+C51+J51+K51+L51+O51+Q51+R51+V51+Y51+AB51+AC51+AD51+AE51+AF51+AG51+S51+D51+AH51+W51+M51+E51+G51</f>
        <v>15</v>
      </c>
      <c r="AP51" s="20">
        <f>+AA51+Z51+T51+H51</f>
        <v>2</v>
      </c>
    </row>
    <row r="52" spans="1:45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19"/>
      <c r="AK52" s="20"/>
      <c r="AL52" s="20"/>
      <c r="AM52" s="20"/>
      <c r="AN52" s="20"/>
      <c r="AO52" s="20"/>
      <c r="AP52" s="20"/>
    </row>
    <row r="53" spans="1:45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J53" s="5"/>
    </row>
    <row r="54" spans="1:45" x14ac:dyDescent="0.2">
      <c r="A54" t="s">
        <v>1</v>
      </c>
      <c r="C54">
        <v>1590</v>
      </c>
      <c r="E54">
        <v>0</v>
      </c>
      <c r="F54">
        <v>0</v>
      </c>
      <c r="G54">
        <v>510</v>
      </c>
      <c r="H54">
        <v>420</v>
      </c>
      <c r="I54">
        <v>0</v>
      </c>
      <c r="J54">
        <v>1710</v>
      </c>
      <c r="K54">
        <v>1140</v>
      </c>
      <c r="M54">
        <v>0</v>
      </c>
      <c r="O54">
        <v>0</v>
      </c>
      <c r="P54" s="31">
        <v>2760</v>
      </c>
      <c r="R54">
        <v>3330</v>
      </c>
      <c r="S54">
        <v>6300</v>
      </c>
      <c r="T54">
        <v>1380</v>
      </c>
      <c r="U54">
        <v>0</v>
      </c>
      <c r="V54">
        <v>13920</v>
      </c>
      <c r="W54">
        <v>1620</v>
      </c>
      <c r="X54">
        <v>0</v>
      </c>
      <c r="Y54">
        <v>0</v>
      </c>
      <c r="AB54">
        <v>5400</v>
      </c>
      <c r="AC54">
        <v>11790</v>
      </c>
      <c r="AD54">
        <v>390</v>
      </c>
      <c r="AE54">
        <v>4410</v>
      </c>
      <c r="AF54">
        <v>0</v>
      </c>
      <c r="AG54">
        <v>1428</v>
      </c>
      <c r="AH54">
        <v>5220</v>
      </c>
      <c r="AI54">
        <v>0</v>
      </c>
      <c r="AJ54" s="5">
        <f>SUM(C54:AI54)</f>
        <v>63318</v>
      </c>
      <c r="AK54">
        <f>+AB54+Q54+V54+AC54+AE54+AF54+S54</f>
        <v>41820</v>
      </c>
      <c r="AL54" s="20">
        <f>+C54+E54+I54+N54+P54+R54+X54+D54+AH54+W54</f>
        <v>14520</v>
      </c>
      <c r="AM54">
        <f>+B54+F54+O54+Y54+AD54+AI54+AG54+K54+L54+U54+T54+Z54+AA54+M54+J54+H54+G54</f>
        <v>6978</v>
      </c>
      <c r="AN54">
        <f>+P54+U54+X54+AI54+N54+I54+F54</f>
        <v>2760</v>
      </c>
      <c r="AO54" s="20">
        <f>+B54+C54+J54+K54+L54+O54+Q54+R54+V54+Y54+AB54+AC54+AD54+AE54+AF54+AG54+S54+D54+AH54+W54+M54+E54+G54</f>
        <v>58758</v>
      </c>
      <c r="AP54">
        <f>+AA54+Z54+T54+H54</f>
        <v>1800</v>
      </c>
      <c r="AQ54">
        <f>+AK54+AL54+AM54</f>
        <v>63318</v>
      </c>
      <c r="AS54">
        <f>+AJ54+AJ48+AJ42+AJ36+AJ30+AJ24+AJ18+AJ12+AJ6</f>
        <v>680268</v>
      </c>
    </row>
    <row r="55" spans="1:45" x14ac:dyDescent="0.2">
      <c r="A55" t="s">
        <v>2</v>
      </c>
      <c r="C55">
        <v>289</v>
      </c>
      <c r="E55">
        <v>0</v>
      </c>
      <c r="F55">
        <v>0</v>
      </c>
      <c r="G55">
        <v>230</v>
      </c>
      <c r="H55">
        <v>7</v>
      </c>
      <c r="I55">
        <v>0</v>
      </c>
      <c r="J55">
        <v>906</v>
      </c>
      <c r="K55">
        <v>790</v>
      </c>
      <c r="M55">
        <v>0</v>
      </c>
      <c r="O55">
        <v>0</v>
      </c>
      <c r="P55">
        <v>1508</v>
      </c>
      <c r="R55">
        <f>+R54*0.287</f>
        <v>955.70999999999992</v>
      </c>
      <c r="S55">
        <f>+S54*0.518</f>
        <v>3263.4</v>
      </c>
      <c r="T55">
        <f>+T54*0.469</f>
        <v>647.21999999999991</v>
      </c>
      <c r="U55">
        <v>0</v>
      </c>
      <c r="V55">
        <v>2662</v>
      </c>
      <c r="W55">
        <f>+W54*0.21</f>
        <v>340.2</v>
      </c>
      <c r="X55">
        <v>0</v>
      </c>
      <c r="Y55">
        <v>0</v>
      </c>
      <c r="AB55">
        <f>+AB54*0.335</f>
        <v>1809</v>
      </c>
      <c r="AC55">
        <v>9066</v>
      </c>
      <c r="AD55">
        <v>102</v>
      </c>
      <c r="AE55">
        <v>2135</v>
      </c>
      <c r="AF55">
        <v>0</v>
      </c>
      <c r="AG55">
        <v>1155</v>
      </c>
      <c r="AH55">
        <v>2337</v>
      </c>
      <c r="AI55">
        <v>0</v>
      </c>
      <c r="AJ55" s="5">
        <f>SUM(C55:AI55)</f>
        <v>28202.53</v>
      </c>
      <c r="AK55">
        <f>+AB55+Q55+V55+AC55+AE55+AF55+S55</f>
        <v>18935.400000000001</v>
      </c>
      <c r="AL55" s="20">
        <f>+C55+E55+I55+N55+P55+R55+X55+D55+AH55+W55</f>
        <v>5429.91</v>
      </c>
      <c r="AM55">
        <f>+B55+F55+O55+Y55+AD55+AI55+AG55+K55+L55+U55+T55+Z55+AA55+M55+J55+H55+G55</f>
        <v>3837.22</v>
      </c>
      <c r="AN55">
        <f>+P55+U55+X55+AI55+N55+I55+F55</f>
        <v>1508</v>
      </c>
      <c r="AO55" s="20">
        <f>+B55+C55+J55+K55+L55+O55+Q55+R55+V55+Y55+AB55+AC55+AD55+AE55+AF55+AG55+S55+D55+AH55+W55+M55+E55+G55</f>
        <v>26040.31</v>
      </c>
      <c r="AP55">
        <f>+AA55+Z55+T55+H55</f>
        <v>654.21999999999991</v>
      </c>
      <c r="AQ55">
        <f>+AK55+AL55+AM55</f>
        <v>28202.530000000002</v>
      </c>
      <c r="AS55">
        <f>+AJ55+AJ49+AJ43+AJ37+AJ31+AJ25+AJ19+AJ13+AJ7</f>
        <v>394139.63670000003</v>
      </c>
    </row>
    <row r="56" spans="1:45" x14ac:dyDescent="0.2">
      <c r="A56" t="s">
        <v>4</v>
      </c>
      <c r="C56" s="3">
        <f>+C55/C54</f>
        <v>0.18176100628930816</v>
      </c>
      <c r="D56" s="3"/>
      <c r="E56" s="3">
        <v>0</v>
      </c>
      <c r="F56" s="3">
        <v>0</v>
      </c>
      <c r="G56" s="3">
        <f>+G55/G54</f>
        <v>0.45098039215686275</v>
      </c>
      <c r="H56" s="3">
        <f>+H55/H54</f>
        <v>1.6666666666666666E-2</v>
      </c>
      <c r="I56" s="3">
        <v>0</v>
      </c>
      <c r="J56" s="3">
        <f>+J55/J54</f>
        <v>0.52982456140350875</v>
      </c>
      <c r="K56" s="3">
        <f>+K55/K54</f>
        <v>0.69298245614035092</v>
      </c>
      <c r="L56" s="3"/>
      <c r="M56" s="3">
        <v>0</v>
      </c>
      <c r="N56" s="3">
        <v>0</v>
      </c>
      <c r="O56" s="3">
        <v>0</v>
      </c>
      <c r="P56" s="3">
        <f t="shared" ref="P56:W56" si="30">+P55/P54</f>
        <v>0.54637681159420293</v>
      </c>
      <c r="Q56" s="3" t="e">
        <f t="shared" si="30"/>
        <v>#DIV/0!</v>
      </c>
      <c r="R56" s="3">
        <f t="shared" si="30"/>
        <v>0.28699999999999998</v>
      </c>
      <c r="S56" s="3">
        <f t="shared" si="30"/>
        <v>0.51800000000000002</v>
      </c>
      <c r="T56" s="3">
        <f t="shared" si="30"/>
        <v>0.46899999999999992</v>
      </c>
      <c r="U56" s="3">
        <v>0</v>
      </c>
      <c r="V56" s="3">
        <f t="shared" si="30"/>
        <v>0.19123563218390804</v>
      </c>
      <c r="W56" s="3">
        <f t="shared" si="30"/>
        <v>0.21</v>
      </c>
      <c r="X56" s="3">
        <v>0</v>
      </c>
      <c r="Y56" s="3">
        <v>0</v>
      </c>
      <c r="Z56" s="3"/>
      <c r="AA56" s="3">
        <v>0</v>
      </c>
      <c r="AB56" s="3">
        <f t="shared" ref="AB56:AH56" si="31">+AB55/AB54</f>
        <v>0.33500000000000002</v>
      </c>
      <c r="AC56" s="3">
        <f t="shared" si="31"/>
        <v>0.76895674300254457</v>
      </c>
      <c r="AD56" s="3">
        <f t="shared" si="31"/>
        <v>0.26153846153846155</v>
      </c>
      <c r="AE56" s="3">
        <f t="shared" si="31"/>
        <v>0.48412698412698413</v>
      </c>
      <c r="AF56" s="3">
        <v>0</v>
      </c>
      <c r="AG56" s="3">
        <f t="shared" si="31"/>
        <v>0.80882352941176472</v>
      </c>
      <c r="AH56" s="3">
        <f t="shared" si="31"/>
        <v>0.44770114942528738</v>
      </c>
      <c r="AI56" s="3">
        <v>0</v>
      </c>
      <c r="AJ56" s="6">
        <f t="shared" ref="AJ56:AP56" si="32">+AJ55/AJ54</f>
        <v>0.4454109415963865</v>
      </c>
      <c r="AK56" s="3">
        <f t="shared" si="32"/>
        <v>0.45278335724533719</v>
      </c>
      <c r="AL56" s="3">
        <f t="shared" si="32"/>
        <v>0.3739607438016529</v>
      </c>
      <c r="AM56" s="3">
        <f t="shared" si="32"/>
        <v>0.54990255087417594</v>
      </c>
      <c r="AN56" s="3">
        <f t="shared" si="32"/>
        <v>0.54637681159420293</v>
      </c>
      <c r="AO56" s="3">
        <f t="shared" si="32"/>
        <v>0.44317897137411078</v>
      </c>
      <c r="AP56" s="3">
        <f t="shared" si="32"/>
        <v>0.36345555555555553</v>
      </c>
      <c r="AS56">
        <f>+AS55/AS54</f>
        <v>0.57938876545714346</v>
      </c>
    </row>
    <row r="57" spans="1:45" x14ac:dyDescent="0.2">
      <c r="A57" s="20"/>
      <c r="B57" s="20"/>
      <c r="C57" s="20">
        <v>1</v>
      </c>
      <c r="D57" s="20"/>
      <c r="E57" s="20"/>
      <c r="F57" s="20"/>
      <c r="G57" s="20">
        <v>1</v>
      </c>
      <c r="H57" s="20">
        <v>1</v>
      </c>
      <c r="I57" s="20"/>
      <c r="J57" s="20">
        <v>1</v>
      </c>
      <c r="K57" s="20">
        <v>1</v>
      </c>
      <c r="L57" s="20"/>
      <c r="M57" s="20"/>
      <c r="N57" s="20"/>
      <c r="O57" s="20"/>
      <c r="P57" s="20">
        <v>1</v>
      </c>
      <c r="Q57" s="20"/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/>
      <c r="AG57" s="20">
        <v>1</v>
      </c>
      <c r="AH57" s="20">
        <v>1</v>
      </c>
      <c r="AI57" s="20"/>
      <c r="AJ57" s="19">
        <f>SUM(C57:AI57)</f>
        <v>17</v>
      </c>
      <c r="AK57" s="20">
        <f>+AB57+Q57+V57+AC57+AE57+AF57+S57</f>
        <v>5</v>
      </c>
      <c r="AL57" s="20">
        <f>+C57+E57+I57+N57+P57+R57+X57+D57+AH57+W57</f>
        <v>5</v>
      </c>
      <c r="AM57" s="20">
        <f>+B57+F57+O57+Y57+AD57+AI57+AG57+K57+L57+U57+T57+Z57+AA57+M57+J57+H57+G57</f>
        <v>7</v>
      </c>
      <c r="AN57" s="20">
        <f>+P57+U57+X57+AI57+N57+I57+F57</f>
        <v>1</v>
      </c>
      <c r="AO57" s="20">
        <f>+B57+C57+J57+K57+L57+O57+Q57+R57+V57+Y57+AB57+AC57+AD57+AE57+AF57+AG57+S57+D57+AH57+W57+M57+E57+G57</f>
        <v>14</v>
      </c>
      <c r="AP57" s="20">
        <f>+AA57+Z57+T57+H57</f>
        <v>2</v>
      </c>
    </row>
    <row r="58" spans="1:45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19"/>
      <c r="AK58" s="20"/>
      <c r="AL58" s="20"/>
      <c r="AM58" s="20"/>
      <c r="AN58" s="20"/>
      <c r="AO58" s="20"/>
      <c r="AP58" s="20"/>
    </row>
    <row r="59" spans="1:45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J59" s="5"/>
    </row>
    <row r="60" spans="1:45" x14ac:dyDescent="0.2">
      <c r="A60" t="s">
        <v>1</v>
      </c>
      <c r="C60">
        <v>1643</v>
      </c>
      <c r="F60">
        <f>109*15</f>
        <v>1635</v>
      </c>
      <c r="G60">
        <v>527</v>
      </c>
      <c r="H60">
        <v>406</v>
      </c>
      <c r="I60">
        <f>2728/31*15</f>
        <v>1320</v>
      </c>
      <c r="J60">
        <v>1767</v>
      </c>
      <c r="K60">
        <v>1178</v>
      </c>
      <c r="M60">
        <v>0</v>
      </c>
      <c r="N60">
        <v>0</v>
      </c>
      <c r="P60">
        <v>2666</v>
      </c>
      <c r="R60">
        <v>3441</v>
      </c>
      <c r="S60">
        <v>6510</v>
      </c>
      <c r="T60">
        <v>1426</v>
      </c>
      <c r="U60">
        <f>25*22</f>
        <v>550</v>
      </c>
      <c r="V60">
        <v>14384</v>
      </c>
      <c r="W60">
        <v>1798</v>
      </c>
      <c r="X60">
        <v>0</v>
      </c>
      <c r="Y60">
        <v>0</v>
      </c>
      <c r="AB60">
        <v>5580</v>
      </c>
      <c r="AC60">
        <v>12183</v>
      </c>
      <c r="AD60">
        <v>403</v>
      </c>
      <c r="AE60">
        <v>5859</v>
      </c>
      <c r="AF60">
        <v>0</v>
      </c>
      <c r="AG60">
        <v>1581</v>
      </c>
      <c r="AH60">
        <v>5394</v>
      </c>
      <c r="AI60">
        <v>0</v>
      </c>
      <c r="AJ60" s="5">
        <f>SUM(C60:AI60)</f>
        <v>70251</v>
      </c>
      <c r="AK60">
        <f>+AB60+Q60+V60+AC60+AE60+AF60+S60</f>
        <v>44516</v>
      </c>
      <c r="AL60" s="20">
        <f>+C60+E60+I60+N60+P60+R60+X60+D60+AH60+W60</f>
        <v>16262</v>
      </c>
      <c r="AM60">
        <f>+B60+F60+O60+Y60+AD60+AI60+AG60+K60+L60+U60+T60+Z60+AA60+M60+J60+H60+G60</f>
        <v>9473</v>
      </c>
      <c r="AN60">
        <f>+P60+U60+X60+AI60+N60+I60+F60</f>
        <v>6171</v>
      </c>
      <c r="AO60" s="20">
        <f>+B60+C60+J60+K60+L60+O60+Q60+R60+V60+Y60+AB60+AC60+AD60+AE60+AF60+AG60+S60+D60+AH60+W60+M60+E60+G60</f>
        <v>62248</v>
      </c>
      <c r="AP60">
        <f>+AA60+Z60+T60+H60</f>
        <v>1832</v>
      </c>
      <c r="AQ60">
        <f>+AK60+AL60+AM60</f>
        <v>70251</v>
      </c>
    </row>
    <row r="61" spans="1:45" x14ac:dyDescent="0.2">
      <c r="A61" t="s">
        <v>2</v>
      </c>
      <c r="C61">
        <v>502</v>
      </c>
      <c r="F61">
        <v>409</v>
      </c>
      <c r="G61">
        <v>254</v>
      </c>
      <c r="H61">
        <v>38</v>
      </c>
      <c r="I61">
        <v>712</v>
      </c>
      <c r="J61">
        <f>+J60*0.69</f>
        <v>1219.23</v>
      </c>
      <c r="K61">
        <f>+K60*0.56</f>
        <v>659.68000000000006</v>
      </c>
      <c r="M61">
        <v>0</v>
      </c>
      <c r="N61">
        <v>0</v>
      </c>
      <c r="P61">
        <v>1845</v>
      </c>
      <c r="R61">
        <f>+R60*0.371</f>
        <v>1276.6109999999999</v>
      </c>
      <c r="S61">
        <f>+S60*0.405</f>
        <v>2636.55</v>
      </c>
      <c r="T61">
        <f>+T60*0.561</f>
        <v>799.9860000000001</v>
      </c>
      <c r="U61">
        <f>+U60*0.3</f>
        <v>165</v>
      </c>
      <c r="V61">
        <v>3523</v>
      </c>
      <c r="W61">
        <f>+W60*0.46</f>
        <v>827.08</v>
      </c>
      <c r="X61">
        <v>0</v>
      </c>
      <c r="Y61">
        <v>0</v>
      </c>
      <c r="AB61">
        <f>+AB60*0.394</f>
        <v>2198.52</v>
      </c>
      <c r="AC61">
        <f>+AC60*0.8865</f>
        <v>10800.229499999999</v>
      </c>
      <c r="AD61">
        <v>175</v>
      </c>
      <c r="AE61">
        <v>2867</v>
      </c>
      <c r="AF61">
        <v>0</v>
      </c>
      <c r="AG61">
        <v>1224</v>
      </c>
      <c r="AH61">
        <v>3190</v>
      </c>
      <c r="AI61">
        <v>0</v>
      </c>
      <c r="AJ61" s="5">
        <f>SUM(C61:AI61)</f>
        <v>35321.886500000001</v>
      </c>
      <c r="AK61">
        <f>+AB61+Q61+V61+AC61+AE61+AF61+S61</f>
        <v>22025.299499999997</v>
      </c>
      <c r="AL61" s="20">
        <f>+C61+E61+I61+N61+P61+R61+X61+D61+AH61+W61</f>
        <v>8352.6910000000007</v>
      </c>
      <c r="AM61">
        <f>+B61+F61+O61+Y61+AD61+AI61+AG61+K61+L61+U61+T61+Z61+AA61+M61+J61+H61+G61</f>
        <v>4943.8960000000006</v>
      </c>
      <c r="AN61">
        <f>+P61+U61+X61+AI61+N61+I61+F61</f>
        <v>3131</v>
      </c>
      <c r="AO61" s="20">
        <f>+B61+C61+J61+K61+L61+O61+Q61+R61+V61+Y61+AB61+AC61+AD61+AE61+AF61+AG61+S61+D61+AH61+W61+M61+E61+G61</f>
        <v>31352.9005</v>
      </c>
      <c r="AP61">
        <f>+AA61+Z61+T61+H61</f>
        <v>837.9860000000001</v>
      </c>
      <c r="AQ61">
        <f>+AK61+AL61+AM61</f>
        <v>35321.886500000001</v>
      </c>
    </row>
    <row r="62" spans="1:45" x14ac:dyDescent="0.2">
      <c r="A62" t="s">
        <v>4</v>
      </c>
      <c r="C62" s="3">
        <f>+C61/C60</f>
        <v>0.30553864881314668</v>
      </c>
      <c r="D62" s="3"/>
      <c r="E62" s="3">
        <v>0</v>
      </c>
      <c r="F62" s="3">
        <f t="shared" ref="F62:K62" si="33">+F61/F60</f>
        <v>0.25015290519877675</v>
      </c>
      <c r="G62" s="3">
        <f t="shared" si="33"/>
        <v>0.48197343453510438</v>
      </c>
      <c r="H62" s="3">
        <f t="shared" si="33"/>
        <v>9.3596059113300489E-2</v>
      </c>
      <c r="I62" s="3">
        <f t="shared" si="33"/>
        <v>0.53939393939393943</v>
      </c>
      <c r="J62" s="3">
        <f t="shared" si="33"/>
        <v>0.69000000000000006</v>
      </c>
      <c r="K62" s="3">
        <f t="shared" si="33"/>
        <v>0.56000000000000005</v>
      </c>
      <c r="L62" s="3"/>
      <c r="M62" s="3">
        <v>0</v>
      </c>
      <c r="N62" s="3">
        <v>0</v>
      </c>
      <c r="O62" s="3">
        <v>0</v>
      </c>
      <c r="P62" s="3">
        <f t="shared" ref="P62:W62" si="34">+P61/P60</f>
        <v>0.6920480120030007</v>
      </c>
      <c r="Q62" s="3" t="e">
        <f t="shared" si="34"/>
        <v>#DIV/0!</v>
      </c>
      <c r="R62" s="3">
        <f t="shared" si="34"/>
        <v>0.37099999999999994</v>
      </c>
      <c r="S62" s="3">
        <f t="shared" si="34"/>
        <v>0.40500000000000003</v>
      </c>
      <c r="T62" s="3">
        <f t="shared" si="34"/>
        <v>0.56100000000000005</v>
      </c>
      <c r="U62" s="3">
        <f t="shared" si="34"/>
        <v>0.3</v>
      </c>
      <c r="V62" s="3">
        <f t="shared" si="34"/>
        <v>0.24492491657397109</v>
      </c>
      <c r="W62" s="3">
        <f t="shared" si="34"/>
        <v>0.46</v>
      </c>
      <c r="X62" s="3">
        <v>0</v>
      </c>
      <c r="Y62" s="3">
        <v>0</v>
      </c>
      <c r="Z62" s="3"/>
      <c r="AA62" s="3">
        <v>0</v>
      </c>
      <c r="AB62" s="3">
        <f t="shared" ref="AB62:AH62" si="35">+AB61/AB60</f>
        <v>0.39400000000000002</v>
      </c>
      <c r="AC62" s="3">
        <f t="shared" si="35"/>
        <v>0.88649999999999995</v>
      </c>
      <c r="AD62" s="3">
        <f t="shared" si="35"/>
        <v>0.43424317617866004</v>
      </c>
      <c r="AE62" s="3">
        <f t="shared" si="35"/>
        <v>0.48933265062297321</v>
      </c>
      <c r="AF62" s="3">
        <v>0</v>
      </c>
      <c r="AG62" s="3">
        <f t="shared" si="35"/>
        <v>0.77419354838709675</v>
      </c>
      <c r="AH62" s="3">
        <f t="shared" si="35"/>
        <v>0.59139784946236562</v>
      </c>
      <c r="AI62" s="3">
        <v>0</v>
      </c>
      <c r="AJ62" s="6">
        <f t="shared" ref="AJ62:AP62" si="36">+AJ61/AJ60</f>
        <v>0.50279549757298825</v>
      </c>
      <c r="AK62" s="3">
        <f t="shared" si="36"/>
        <v>0.49477265477581089</v>
      </c>
      <c r="AL62" s="3">
        <f t="shared" si="36"/>
        <v>0.51363245603246832</v>
      </c>
      <c r="AM62" s="3">
        <f t="shared" si="36"/>
        <v>0.52189338118864148</v>
      </c>
      <c r="AN62" s="3">
        <f t="shared" si="36"/>
        <v>0.50737319721276941</v>
      </c>
      <c r="AO62" s="3">
        <f t="shared" si="36"/>
        <v>0.50367723460994729</v>
      </c>
      <c r="AP62" s="3">
        <f t="shared" si="36"/>
        <v>0.45741593886462889</v>
      </c>
    </row>
    <row r="63" spans="1:45" x14ac:dyDescent="0.2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>
        <v>1</v>
      </c>
      <c r="L63" s="20"/>
      <c r="M63" s="20"/>
      <c r="N63" s="20"/>
      <c r="O63" s="20"/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/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/>
      <c r="AG63" s="20">
        <v>1</v>
      </c>
      <c r="AH63" s="20">
        <v>1</v>
      </c>
      <c r="AI63" s="20"/>
      <c r="AJ63" s="19">
        <f>SUM(C63:AI63)</f>
        <v>20</v>
      </c>
      <c r="AK63" s="20">
        <f>+AB63+Q63+V63+AC63+AE63+AF63+S63</f>
        <v>5</v>
      </c>
      <c r="AL63" s="20">
        <f>+C63+E63+I63+N63+P63+R63+X63+D63+AH63+W63</f>
        <v>6</v>
      </c>
      <c r="AM63" s="20">
        <f>+B63+F63+O63+Y63+AD63+AI63+AG63+K63+L63+U63+T63+Z63+AA63+M63+J63+H63+G63</f>
        <v>9</v>
      </c>
      <c r="AN63" s="20">
        <f>+P63+U63+X63+AI63+N63+I63+F63</f>
        <v>4</v>
      </c>
      <c r="AO63" s="20">
        <f>+B63+C63+J63+K63+L63+O63+Q63+R63+V63+Y63+AB63+AC63+AD63+AE63+AF63+AG63+S63+D63+AH63+W63+M63+E63+G63</f>
        <v>14</v>
      </c>
      <c r="AP63" s="20">
        <f>+AA63+Z63+T63+H63</f>
        <v>2</v>
      </c>
    </row>
    <row r="64" spans="1:45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19"/>
      <c r="AK64" s="20"/>
      <c r="AL64" s="20"/>
      <c r="AM64" s="20"/>
      <c r="AN64" s="20"/>
      <c r="AO64" s="20"/>
      <c r="AP64" s="20"/>
    </row>
    <row r="65" spans="1:43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J65" s="5"/>
    </row>
    <row r="66" spans="1:43" x14ac:dyDescent="0.2">
      <c r="A66" t="s">
        <v>1</v>
      </c>
      <c r="C66">
        <v>1590</v>
      </c>
      <c r="E66">
        <v>0</v>
      </c>
      <c r="F66">
        <v>3270</v>
      </c>
      <c r="G66">
        <v>510</v>
      </c>
      <c r="H66">
        <v>420</v>
      </c>
      <c r="I66">
        <v>2640</v>
      </c>
      <c r="J66">
        <v>1710</v>
      </c>
      <c r="K66">
        <v>1140</v>
      </c>
      <c r="L66">
        <v>750</v>
      </c>
      <c r="M66">
        <v>420</v>
      </c>
      <c r="N66">
        <v>2160</v>
      </c>
      <c r="O66">
        <v>690</v>
      </c>
      <c r="P66">
        <v>2580</v>
      </c>
      <c r="R66">
        <v>3330</v>
      </c>
      <c r="S66">
        <v>6300</v>
      </c>
      <c r="T66">
        <v>1380</v>
      </c>
      <c r="U66">
        <v>750</v>
      </c>
      <c r="V66">
        <v>13920</v>
      </c>
      <c r="W66">
        <v>1620</v>
      </c>
      <c r="X66">
        <v>0</v>
      </c>
      <c r="Y66">
        <v>750</v>
      </c>
      <c r="AB66">
        <v>5400</v>
      </c>
      <c r="AC66">
        <v>11790</v>
      </c>
      <c r="AD66">
        <v>390</v>
      </c>
      <c r="AE66">
        <v>5670</v>
      </c>
      <c r="AF66">
        <v>0</v>
      </c>
      <c r="AG66">
        <v>1530</v>
      </c>
      <c r="AH66">
        <v>5220</v>
      </c>
      <c r="AI66">
        <v>1020</v>
      </c>
      <c r="AJ66" s="5">
        <f>SUM(C66:AI66)</f>
        <v>76950</v>
      </c>
      <c r="AK66">
        <f>+AB66+Q66+V66+AC66+AE66+AF66+S66</f>
        <v>43080</v>
      </c>
      <c r="AL66" s="20">
        <f>+C66+E66+I66+N66+P66+R66+X66+D66+AH66+W66</f>
        <v>19140</v>
      </c>
      <c r="AM66">
        <f>+B66+F66+O66+Y66+AD66+AI66+AG66+K66+L66+U66+T66+Z66+AA66+M66+J66+H66+G66</f>
        <v>14730</v>
      </c>
      <c r="AN66">
        <f>+P66+U66+X66+AI66+N66+I66+F66</f>
        <v>12420</v>
      </c>
      <c r="AO66" s="20">
        <f>+B66+C66+J66+K66+L66+O66+Q66+R66+V66+Y66+AB66+AC66+AD66+AE66+AF66+AG66+S66+D66+AH66+W66+M66+E66+G66</f>
        <v>62730</v>
      </c>
      <c r="AP66">
        <f>+AA66+Z66+T66+H66</f>
        <v>1800</v>
      </c>
      <c r="AQ66">
        <f>+AK66+AL66+AM66</f>
        <v>76950</v>
      </c>
    </row>
    <row r="67" spans="1:43" x14ac:dyDescent="0.2">
      <c r="A67" t="s">
        <v>2</v>
      </c>
      <c r="C67">
        <v>781</v>
      </c>
      <c r="E67">
        <v>0</v>
      </c>
      <c r="F67">
        <f>+F66*0.49</f>
        <v>1602.3</v>
      </c>
      <c r="G67">
        <v>331</v>
      </c>
      <c r="H67">
        <v>90</v>
      </c>
      <c r="I67">
        <f>+I66*0.645</f>
        <v>1702.8</v>
      </c>
      <c r="J67">
        <f>+J66*0.92</f>
        <v>1573.2</v>
      </c>
      <c r="K67">
        <f>+K66*0.61</f>
        <v>695.4</v>
      </c>
      <c r="L67">
        <f>+L66*0.644</f>
        <v>483</v>
      </c>
      <c r="M67">
        <v>91</v>
      </c>
      <c r="N67">
        <v>787</v>
      </c>
      <c r="O67">
        <v>165</v>
      </c>
      <c r="P67">
        <v>2373</v>
      </c>
      <c r="R67">
        <f>+R66*0.739</f>
        <v>2460.87</v>
      </c>
      <c r="S67">
        <f>+S66*0.706</f>
        <v>4447.8</v>
      </c>
      <c r="T67">
        <f>+T66*0.574</f>
        <v>792.11999999999989</v>
      </c>
      <c r="U67">
        <v>450</v>
      </c>
      <c r="V67">
        <v>5235</v>
      </c>
      <c r="W67">
        <f>+W66*0.49</f>
        <v>793.8</v>
      </c>
      <c r="X67">
        <v>0</v>
      </c>
      <c r="Y67">
        <v>37</v>
      </c>
      <c r="AB67">
        <f>+AB66*0.66</f>
        <v>3564</v>
      </c>
      <c r="AC67">
        <f>+AC66*0.907</f>
        <v>10693.53</v>
      </c>
      <c r="AD67">
        <v>264</v>
      </c>
      <c r="AE67">
        <v>4334</v>
      </c>
      <c r="AF67">
        <v>0</v>
      </c>
      <c r="AG67">
        <v>1387</v>
      </c>
      <c r="AH67">
        <v>4480</v>
      </c>
      <c r="AI67">
        <f>+AI66*0.1786</f>
        <v>182.172</v>
      </c>
      <c r="AJ67" s="5">
        <f>SUM(C67:AI67)</f>
        <v>49795.991999999998</v>
      </c>
      <c r="AK67">
        <f>+AB67+Q67+V67+AC67+AE67+AF67+S67</f>
        <v>28274.329999999998</v>
      </c>
      <c r="AL67" s="20">
        <f>+C67+E67+I67+N67+P67+R67+X67+D67+AH67+W67</f>
        <v>13378.47</v>
      </c>
      <c r="AM67">
        <f>+B67+F67+O67+Y67+AD67+AI67+AG67+K67+L67+U67+T67+Z67+AA67+M67+J67+H67+G67</f>
        <v>8143.192</v>
      </c>
      <c r="AN67">
        <f>+P67+U67+X67+AI67+N67+I67+F67</f>
        <v>7097.2719999999999</v>
      </c>
      <c r="AO67" s="20">
        <f>+B67+C67+J67+K67+L67+O67+Q67+R67+V67+Y67+AB67+AC67+AD67+AE67+AF67+AG67+S67+D67+AH67+W67+M67+E67+G67</f>
        <v>41816.600000000006</v>
      </c>
      <c r="AP67">
        <f>+AA67+Z67+T67+H67</f>
        <v>882.11999999999989</v>
      </c>
      <c r="AQ67">
        <f>+AK67+AL67+AM67</f>
        <v>49795.991999999998</v>
      </c>
    </row>
    <row r="68" spans="1:43" x14ac:dyDescent="0.2">
      <c r="A68" t="s">
        <v>4</v>
      </c>
      <c r="C68" s="3">
        <f>+C67/C66</f>
        <v>0.49119496855345912</v>
      </c>
      <c r="D68" s="3"/>
      <c r="E68" s="3">
        <v>0</v>
      </c>
      <c r="F68" s="3">
        <f t="shared" ref="F68:L68" si="37">+F67/F66</f>
        <v>0.49</v>
      </c>
      <c r="G68" s="3">
        <f t="shared" si="37"/>
        <v>0.64901960784313728</v>
      </c>
      <c r="H68" s="3">
        <f t="shared" si="37"/>
        <v>0.21428571428571427</v>
      </c>
      <c r="I68" s="3">
        <f t="shared" si="37"/>
        <v>0.64500000000000002</v>
      </c>
      <c r="J68" s="3">
        <f t="shared" si="37"/>
        <v>0.92</v>
      </c>
      <c r="K68" s="3">
        <f t="shared" si="37"/>
        <v>0.61</v>
      </c>
      <c r="L68" s="3">
        <f t="shared" si="37"/>
        <v>0.64400000000000002</v>
      </c>
      <c r="M68" s="3">
        <f>+M67/M66</f>
        <v>0.21666666666666667</v>
      </c>
      <c r="N68" s="3">
        <f>+N67/N66</f>
        <v>0.36435185185185187</v>
      </c>
      <c r="O68" s="3">
        <f t="shared" ref="O68:Y68" si="38">+O67/O66</f>
        <v>0.2391304347826087</v>
      </c>
      <c r="P68" s="3">
        <f t="shared" si="38"/>
        <v>0.91976744186046511</v>
      </c>
      <c r="Q68" s="3" t="e">
        <f t="shared" si="38"/>
        <v>#DIV/0!</v>
      </c>
      <c r="R68" s="3">
        <f t="shared" si="38"/>
        <v>0.73899999999999999</v>
      </c>
      <c r="S68" s="3">
        <f t="shared" si="38"/>
        <v>0.70600000000000007</v>
      </c>
      <c r="T68" s="3">
        <f t="shared" si="38"/>
        <v>0.57399999999999995</v>
      </c>
      <c r="U68" s="3">
        <f t="shared" si="38"/>
        <v>0.6</v>
      </c>
      <c r="V68" s="3">
        <f t="shared" si="38"/>
        <v>0.37607758620689657</v>
      </c>
      <c r="W68" s="3">
        <f t="shared" si="38"/>
        <v>0.49</v>
      </c>
      <c r="X68" s="3">
        <v>0</v>
      </c>
      <c r="Y68" s="3">
        <f t="shared" si="38"/>
        <v>4.9333333333333333E-2</v>
      </c>
      <c r="Z68" s="3"/>
      <c r="AA68" s="3">
        <v>0</v>
      </c>
      <c r="AB68" s="3">
        <f t="shared" ref="AB68:AJ68" si="39">+AB67/AB66</f>
        <v>0.66</v>
      </c>
      <c r="AC68" s="3">
        <f t="shared" si="39"/>
        <v>0.90700000000000003</v>
      </c>
      <c r="AD68" s="3">
        <f t="shared" si="39"/>
        <v>0.67692307692307696</v>
      </c>
      <c r="AE68" s="3">
        <f t="shared" si="39"/>
        <v>0.76437389770723108</v>
      </c>
      <c r="AF68" s="3">
        <v>0</v>
      </c>
      <c r="AG68" s="3">
        <f t="shared" si="39"/>
        <v>0.9065359477124183</v>
      </c>
      <c r="AH68" s="3">
        <f t="shared" si="39"/>
        <v>0.85823754789272033</v>
      </c>
      <c r="AI68" s="3">
        <f t="shared" si="39"/>
        <v>0.17860000000000001</v>
      </c>
      <c r="AJ68" s="6">
        <f t="shared" si="39"/>
        <v>0.6471214035087719</v>
      </c>
      <c r="AK68" s="3">
        <f t="shared" ref="AK68:AP68" si="40">+AK67/AK66</f>
        <v>0.65632149489322189</v>
      </c>
      <c r="AL68" s="3">
        <f t="shared" si="40"/>
        <v>0.69897962382445133</v>
      </c>
      <c r="AM68" s="3">
        <f t="shared" si="40"/>
        <v>0.55283041412084177</v>
      </c>
      <c r="AN68" s="3">
        <f t="shared" si="40"/>
        <v>0.57143896940418681</v>
      </c>
      <c r="AO68" s="3">
        <f t="shared" si="40"/>
        <v>0.6666124661246613</v>
      </c>
      <c r="AP68" s="3">
        <f t="shared" si="40"/>
        <v>0.49006666666666659</v>
      </c>
    </row>
    <row r="69" spans="1:43" x14ac:dyDescent="0.2">
      <c r="A69" s="20"/>
      <c r="B69" s="20"/>
      <c r="C69" s="20">
        <v>1</v>
      </c>
      <c r="D69" s="20"/>
      <c r="E69" s="20"/>
      <c r="F69" s="20">
        <v>1</v>
      </c>
      <c r="G69" s="20">
        <v>1</v>
      </c>
      <c r="H69" s="20">
        <v>1</v>
      </c>
      <c r="I69" s="20">
        <v>1</v>
      </c>
      <c r="J69" s="20">
        <v>1</v>
      </c>
      <c r="K69" s="20">
        <v>1</v>
      </c>
      <c r="L69" s="20">
        <v>1</v>
      </c>
      <c r="M69" s="20">
        <v>1</v>
      </c>
      <c r="N69" s="20">
        <v>1</v>
      </c>
      <c r="O69" s="20">
        <v>1</v>
      </c>
      <c r="P69" s="20">
        <v>1</v>
      </c>
      <c r="Q69" s="20"/>
      <c r="R69" s="20">
        <v>1</v>
      </c>
      <c r="S69" s="20">
        <v>1</v>
      </c>
      <c r="T69" s="20">
        <v>1</v>
      </c>
      <c r="U69" s="20">
        <v>1</v>
      </c>
      <c r="V69" s="20">
        <v>1</v>
      </c>
      <c r="W69" s="20">
        <v>1</v>
      </c>
      <c r="X69" s="20"/>
      <c r="Y69" s="20">
        <v>1</v>
      </c>
      <c r="Z69" s="20"/>
      <c r="AA69" s="20"/>
      <c r="AB69" s="20">
        <v>1</v>
      </c>
      <c r="AC69" s="20">
        <v>1</v>
      </c>
      <c r="AD69" s="20">
        <v>1</v>
      </c>
      <c r="AE69" s="20">
        <v>1</v>
      </c>
      <c r="AF69" s="20"/>
      <c r="AG69" s="20">
        <v>1</v>
      </c>
      <c r="AH69" s="20">
        <v>1</v>
      </c>
      <c r="AI69" s="20">
        <v>1</v>
      </c>
      <c r="AJ69" s="19">
        <f>SUM(C69:AI69)</f>
        <v>26</v>
      </c>
      <c r="AK69" s="20">
        <f>+AB69+Q69+V69+AC69+AE69+AF69+S69</f>
        <v>5</v>
      </c>
      <c r="AL69" s="20">
        <f>+C69+E69+I69+N69+P69+R69+X69+D69+AH69+W69</f>
        <v>7</v>
      </c>
      <c r="AM69" s="20">
        <f>+B69+F69+O69+Y69+AD69+AI69+AG69+K69+L69+U69+T69+Z69+AA69+M69+J69+H69+G69</f>
        <v>14</v>
      </c>
      <c r="AN69" s="20">
        <f>+P69+U69+X69+AI69+N69+I69+F69</f>
        <v>6</v>
      </c>
      <c r="AO69" s="20">
        <f>+B69+C69+J69+K69+L69+O69+Q69+R69+V69+Y69+AB69+AC69+AD69+AE69+AF69+AG69+S69+D69+AH69+W69+M69+E69+G69</f>
        <v>18</v>
      </c>
      <c r="AP69" s="20">
        <f>+AA69+Z69+T69+H69</f>
        <v>2</v>
      </c>
    </row>
    <row r="70" spans="1:43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19"/>
      <c r="AK70" s="20"/>
      <c r="AL70" s="20"/>
      <c r="AM70" s="20"/>
      <c r="AN70" s="20"/>
      <c r="AO70" s="20"/>
      <c r="AP70" s="20"/>
    </row>
    <row r="71" spans="1:43" x14ac:dyDescent="0.2">
      <c r="A71" s="2" t="s">
        <v>42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"/>
      <c r="Z71" s="1"/>
      <c r="AA71" s="1"/>
      <c r="AB71" s="1"/>
      <c r="AC71" s="1"/>
      <c r="AD71" s="1"/>
      <c r="AE71" s="1"/>
      <c r="AF71" s="1"/>
      <c r="AJ71" s="5"/>
    </row>
    <row r="72" spans="1:43" x14ac:dyDescent="0.2">
      <c r="A72" t="s">
        <v>1</v>
      </c>
      <c r="E72">
        <v>0</v>
      </c>
      <c r="F72">
        <v>3379</v>
      </c>
      <c r="G72">
        <v>527</v>
      </c>
      <c r="H72">
        <v>406</v>
      </c>
      <c r="I72">
        <v>2728</v>
      </c>
      <c r="J72">
        <v>1767</v>
      </c>
      <c r="K72">
        <v>1178</v>
      </c>
      <c r="M72">
        <v>434</v>
      </c>
      <c r="N72">
        <v>2232</v>
      </c>
      <c r="O72">
        <v>837</v>
      </c>
      <c r="P72">
        <v>2852</v>
      </c>
      <c r="R72">
        <v>3441</v>
      </c>
      <c r="S72">
        <v>6510</v>
      </c>
      <c r="T72">
        <v>1426</v>
      </c>
      <c r="U72">
        <v>775</v>
      </c>
      <c r="V72">
        <v>14384</v>
      </c>
      <c r="W72">
        <v>1798</v>
      </c>
      <c r="X72">
        <v>300</v>
      </c>
      <c r="Y72">
        <v>775</v>
      </c>
      <c r="AB72">
        <v>5580</v>
      </c>
      <c r="AC72">
        <v>12183</v>
      </c>
      <c r="AD72">
        <v>403</v>
      </c>
      <c r="AE72">
        <v>7781</v>
      </c>
      <c r="AF72">
        <v>0</v>
      </c>
      <c r="AG72">
        <v>1530</v>
      </c>
      <c r="AH72">
        <v>5394</v>
      </c>
      <c r="AI72">
        <f>1020/30*31</f>
        <v>1054</v>
      </c>
      <c r="AJ72" s="5">
        <f>SUM(C72:AI72)</f>
        <v>79674</v>
      </c>
      <c r="AK72">
        <f>+AB72+Q72+V72+AC72+AE72+AF72+S72</f>
        <v>46438</v>
      </c>
      <c r="AL72" s="20">
        <f>+C72+E72+I72+N72+P72+R72+X72+D72+AH72+W72</f>
        <v>18745</v>
      </c>
      <c r="AM72">
        <f>+B72+F72+O72+Y72+AD72+AI72+AG72+K72+L72+U72+T72+Z72+AA72+M72+J72+H72+G72</f>
        <v>14491</v>
      </c>
      <c r="AN72">
        <f>+P72+U72+X72+AI72+N72+I72+F72</f>
        <v>13320</v>
      </c>
      <c r="AO72" s="20">
        <f>+B72+C72+J72+K72+L72+O72+Q72+R72+V72+Y72+AB72+AC72+AD72+AE72+AF72+AG72+S72+D72+AH72+W72+M72+E72+G72</f>
        <v>64522</v>
      </c>
      <c r="AP72">
        <f>+AA72+Z72+T72+H72</f>
        <v>1832</v>
      </c>
      <c r="AQ72">
        <f>+AK72+AL72+AM72</f>
        <v>79674</v>
      </c>
    </row>
    <row r="73" spans="1:43" x14ac:dyDescent="0.2">
      <c r="A73" t="s">
        <v>2</v>
      </c>
      <c r="E73">
        <v>0</v>
      </c>
      <c r="F73">
        <f>+F72*0.43</f>
        <v>1452.97</v>
      </c>
      <c r="G73">
        <v>298</v>
      </c>
      <c r="H73">
        <v>193</v>
      </c>
      <c r="I73">
        <f>+I72*0.802</f>
        <v>2187.8560000000002</v>
      </c>
      <c r="J73">
        <f>+J72*0.78</f>
        <v>1378.26</v>
      </c>
      <c r="K73">
        <f>+K72*0.44</f>
        <v>518.32000000000005</v>
      </c>
      <c r="M73">
        <v>140</v>
      </c>
      <c r="N73">
        <v>1248</v>
      </c>
      <c r="O73">
        <v>363</v>
      </c>
      <c r="P73">
        <v>1974</v>
      </c>
      <c r="R73">
        <f>+R72*0.539</f>
        <v>1854.6990000000001</v>
      </c>
      <c r="S73">
        <f>+S72*0.346</f>
        <v>2252.46</v>
      </c>
      <c r="T73">
        <f>+T72*0.383</f>
        <v>546.15800000000002</v>
      </c>
      <c r="U73">
        <f>+U72*0.9</f>
        <v>697.5</v>
      </c>
      <c r="V73">
        <v>5615</v>
      </c>
      <c r="W73">
        <f>+W72*0.47</f>
        <v>845.06</v>
      </c>
      <c r="X73">
        <f>+X72*0.3</f>
        <v>90</v>
      </c>
      <c r="Y73">
        <v>87</v>
      </c>
      <c r="AB73">
        <f>+AB72*0.54</f>
        <v>3013.2000000000003</v>
      </c>
      <c r="AC73">
        <f>+AC72*0.8332</f>
        <v>10150.875600000001</v>
      </c>
      <c r="AD73">
        <v>244</v>
      </c>
      <c r="AE73">
        <v>6208</v>
      </c>
      <c r="AF73">
        <v>0</v>
      </c>
      <c r="AG73">
        <v>1261</v>
      </c>
      <c r="AH73">
        <v>3864</v>
      </c>
      <c r="AI73">
        <f>+AI72*0.4643</f>
        <v>489.37219999999996</v>
      </c>
      <c r="AJ73" s="5">
        <f>SUM(C73:AI73)</f>
        <v>46971.730799999998</v>
      </c>
      <c r="AK73">
        <f>+AB73+Q73+V73+AC73+AE73+AF73+S73</f>
        <v>27239.535600000003</v>
      </c>
      <c r="AL73" s="20">
        <f>+C73+E73+I73+N73+P73+R73+X73+D73+AH73+W73</f>
        <v>12063.615</v>
      </c>
      <c r="AM73">
        <f>+B73+F73+O73+Y73+AD73+AI73+AG73+K73+L73+U73+T73+Z73+AA73+M73+J73+H73+G73</f>
        <v>7668.5802000000003</v>
      </c>
      <c r="AN73">
        <f>+P73+U73+X73+AI73+N73+I73+F73</f>
        <v>8139.6981999999998</v>
      </c>
      <c r="AO73" s="20">
        <f>+B73+C73+J73+K73+L73+O73+Q73+R73+V73+Y73+AB73+AC73+AD73+AE73+AF73+AG73+S73+D73+AH73+W73+M73+E73+G73</f>
        <v>38092.874600000003</v>
      </c>
      <c r="AP73">
        <f>+AA73+Z73+T73+H73</f>
        <v>739.15800000000002</v>
      </c>
      <c r="AQ73">
        <f>+AK73+AL73+AM73</f>
        <v>46971.730800000005</v>
      </c>
    </row>
    <row r="74" spans="1:43" x14ac:dyDescent="0.2">
      <c r="A74" t="s">
        <v>4</v>
      </c>
      <c r="C74" s="3" t="e">
        <f>+C73/C72</f>
        <v>#DIV/0!</v>
      </c>
      <c r="D74" s="3"/>
      <c r="E74" s="3">
        <v>0</v>
      </c>
      <c r="F74" s="3">
        <f t="shared" ref="F74:K74" si="41">+F73/F72</f>
        <v>0.43</v>
      </c>
      <c r="G74" s="3">
        <f t="shared" si="41"/>
        <v>0.56546489563567359</v>
      </c>
      <c r="H74" s="3">
        <f t="shared" si="41"/>
        <v>0.47536945812807879</v>
      </c>
      <c r="I74" s="3">
        <f t="shared" si="41"/>
        <v>0.80200000000000005</v>
      </c>
      <c r="J74" s="3">
        <f t="shared" si="41"/>
        <v>0.78</v>
      </c>
      <c r="K74" s="3">
        <f t="shared" si="41"/>
        <v>0.44000000000000006</v>
      </c>
      <c r="L74" s="3"/>
      <c r="M74" s="3">
        <f>+M73/M72</f>
        <v>0.32258064516129031</v>
      </c>
      <c r="N74" s="3">
        <f>+N73/N72</f>
        <v>0.55913978494623651</v>
      </c>
      <c r="O74" s="3">
        <f>+O73/O72</f>
        <v>0.43369175627240142</v>
      </c>
      <c r="P74" s="3">
        <f>+P73/P72</f>
        <v>0.69214586255259469</v>
      </c>
      <c r="Q74" s="3" t="e">
        <f t="shared" ref="Q74:Y74" si="42">+Q73/Q72</f>
        <v>#DIV/0!</v>
      </c>
      <c r="R74" s="3">
        <f t="shared" si="42"/>
        <v>0.53900000000000003</v>
      </c>
      <c r="S74" s="3">
        <f t="shared" si="42"/>
        <v>0.34600000000000003</v>
      </c>
      <c r="T74" s="3">
        <f t="shared" si="42"/>
        <v>0.38300000000000001</v>
      </c>
      <c r="U74" s="3">
        <f t="shared" si="42"/>
        <v>0.9</v>
      </c>
      <c r="V74" s="3">
        <f t="shared" si="42"/>
        <v>0.39036429365962177</v>
      </c>
      <c r="W74" s="3">
        <f t="shared" si="42"/>
        <v>0.47</v>
      </c>
      <c r="X74" s="3">
        <f t="shared" si="42"/>
        <v>0.3</v>
      </c>
      <c r="Y74" s="3">
        <f t="shared" si="42"/>
        <v>0.11225806451612903</v>
      </c>
      <c r="Z74" s="3"/>
      <c r="AA74" s="3">
        <v>0</v>
      </c>
      <c r="AB74" s="3">
        <f t="shared" ref="AB74:AI74" si="43">+AB73/AB72</f>
        <v>0.54</v>
      </c>
      <c r="AC74" s="3">
        <f t="shared" si="43"/>
        <v>0.83320000000000005</v>
      </c>
      <c r="AD74" s="3">
        <f t="shared" si="43"/>
        <v>0.60545905707196035</v>
      </c>
      <c r="AE74" s="3">
        <f>+AE73/AE72</f>
        <v>0.79784089448656981</v>
      </c>
      <c r="AF74" s="3">
        <v>0</v>
      </c>
      <c r="AG74" s="3">
        <f>+AG73/AG72</f>
        <v>0.82418300653594767</v>
      </c>
      <c r="AH74" s="3">
        <f>+AH73/AH72</f>
        <v>0.71635150166852057</v>
      </c>
      <c r="AI74" s="3">
        <f t="shared" si="43"/>
        <v>0.46429999999999999</v>
      </c>
      <c r="AJ74" s="6">
        <f t="shared" ref="AJ74:AP74" si="44">+AJ73/AJ72</f>
        <v>0.58954904736802471</v>
      </c>
      <c r="AK74" s="3">
        <f t="shared" si="44"/>
        <v>0.58657856927516261</v>
      </c>
      <c r="AL74" s="3">
        <f t="shared" si="44"/>
        <v>0.64356441717791413</v>
      </c>
      <c r="AM74" s="3">
        <f t="shared" si="44"/>
        <v>0.52919606652404938</v>
      </c>
      <c r="AN74" s="3">
        <f t="shared" si="44"/>
        <v>0.61108845345345342</v>
      </c>
      <c r="AO74" s="3">
        <f t="shared" si="44"/>
        <v>0.59038583118936183</v>
      </c>
      <c r="AP74" s="3">
        <f t="shared" si="44"/>
        <v>0.40347052401746725</v>
      </c>
    </row>
    <row r="75" spans="1:43" x14ac:dyDescent="0.2">
      <c r="A75" s="20"/>
      <c r="B75" s="20"/>
      <c r="C75" s="20"/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>
        <v>1</v>
      </c>
      <c r="L75" s="20"/>
      <c r="M75" s="20">
        <v>1</v>
      </c>
      <c r="N75" s="20">
        <v>1</v>
      </c>
      <c r="O75" s="20">
        <v>1</v>
      </c>
      <c r="P75" s="20">
        <v>1</v>
      </c>
      <c r="Q75" s="20"/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/>
      <c r="AG75" s="20">
        <v>1</v>
      </c>
      <c r="AH75" s="20">
        <v>1</v>
      </c>
      <c r="AI75" s="20">
        <v>1</v>
      </c>
      <c r="AJ75" s="19">
        <f>SUM(C75:AI75)</f>
        <v>25</v>
      </c>
      <c r="AK75" s="20">
        <f>+AB75+Q75+V75+AC75+AE75+AF75+S75</f>
        <v>5</v>
      </c>
      <c r="AL75" s="20">
        <f>+C75+E75+I75+N75+P75+R75+X75+D75+AH75+W75</f>
        <v>7</v>
      </c>
      <c r="AM75" s="20">
        <f>+B75+F75+O75+Y75+AD75+AI75+AG75+K75+L75+U75+T75+Z75+AA75+M75+J75+H75+G75</f>
        <v>13</v>
      </c>
      <c r="AN75" s="20">
        <f>+P75+U75+X75+AI75+N75+I75+F75</f>
        <v>7</v>
      </c>
      <c r="AO75" s="20">
        <f>+B75+C75+J75+K75+L75+O75+Q75+R75+V75+Y75+AB75+AC75+AD75+AE75+AF75+AG75+S75+D75+AH75+W75+M75+E75+G75</f>
        <v>16</v>
      </c>
      <c r="AP75" s="20">
        <f>+AA75+Z75+T75+H75</f>
        <v>2</v>
      </c>
    </row>
    <row r="76" spans="1:43" x14ac:dyDescent="0.2">
      <c r="A76" t="s">
        <v>61</v>
      </c>
      <c r="AJ76">
        <f>+AJ6+AJ12+AJ18+AJ24+AJ30+AJ36+AJ42+AJ48+AJ54+AJ60+AJ66+AJ72</f>
        <v>907143</v>
      </c>
      <c r="AK76">
        <f t="shared" ref="AK76:AP76" si="45">+AK6+AK12+AK18+AK24+AK30+AK36+AK42+AK48+AK54+AK60+AK66+AK72</f>
        <v>526844</v>
      </c>
      <c r="AL76">
        <f t="shared" si="45"/>
        <v>225009</v>
      </c>
      <c r="AM76">
        <f t="shared" si="45"/>
        <v>154814</v>
      </c>
      <c r="AN76">
        <f t="shared" si="45"/>
        <v>132746</v>
      </c>
      <c r="AO76">
        <f t="shared" si="45"/>
        <v>752531</v>
      </c>
      <c r="AP76">
        <f t="shared" si="45"/>
        <v>21866</v>
      </c>
    </row>
    <row r="77" spans="1:43" x14ac:dyDescent="0.2">
      <c r="AJ77">
        <f>+AJ7+AJ13+AJ19+AJ25+AJ31+AJ37+AJ43+AJ49+AJ55+AJ61+AJ67+AJ73</f>
        <v>526229.24600000004</v>
      </c>
      <c r="AK77">
        <f t="shared" ref="AK77:AP77" si="46">+AK7+AK13+AK19+AK25+AK31+AK37+AK43+AK49+AK55+AK61+AK67+AK73</f>
        <v>313709.86219999997</v>
      </c>
      <c r="AL77">
        <f t="shared" si="46"/>
        <v>124155.70600000001</v>
      </c>
      <c r="AM77">
        <f t="shared" si="46"/>
        <v>88033.67779999999</v>
      </c>
      <c r="AN77">
        <f t="shared" si="46"/>
        <v>71701.205799999996</v>
      </c>
      <c r="AO77">
        <f t="shared" si="46"/>
        <v>444169.98419999995</v>
      </c>
      <c r="AP77">
        <f t="shared" si="46"/>
        <v>10358.056</v>
      </c>
    </row>
    <row r="78" spans="1:43" x14ac:dyDescent="0.2">
      <c r="AJ78" s="6">
        <f t="shared" ref="AJ78:AP78" si="47">+AJ77/AJ76</f>
        <v>0.58009514045745825</v>
      </c>
      <c r="AK78" s="6">
        <f t="shared" si="47"/>
        <v>0.59545114341247118</v>
      </c>
      <c r="AL78" s="6">
        <f t="shared" si="47"/>
        <v>0.55178106653511638</v>
      </c>
      <c r="AM78" s="6">
        <f t="shared" si="47"/>
        <v>0.56864158151071598</v>
      </c>
      <c r="AN78" s="6">
        <f t="shared" si="47"/>
        <v>0.54013835294472146</v>
      </c>
      <c r="AO78" s="6">
        <f t="shared" si="47"/>
        <v>0.5902347998952866</v>
      </c>
      <c r="AP78" s="6">
        <f t="shared" si="47"/>
        <v>0.4737060276227934</v>
      </c>
    </row>
    <row r="80" spans="1:43" x14ac:dyDescent="0.2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3:35" x14ac:dyDescent="0.2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</sheetData>
  <phoneticPr fontId="3" type="noConversion"/>
  <pageMargins left="0.74803149606299213" right="0.4" top="0.53" bottom="0.47" header="0.51181102362204722" footer="0.51181102362204722"/>
  <pageSetup scale="42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3"/>
  <sheetViews>
    <sheetView topLeftCell="A2" zoomScale="81" zoomScaleNormal="81" workbookViewId="0">
      <pane xSplit="1" ySplit="3" topLeftCell="L16" activePane="bottomRight" state="frozen"/>
      <selection activeCell="A2" sqref="A2"/>
      <selection pane="topRight" activeCell="B2" sqref="B2"/>
      <selection pane="bottomLeft" activeCell="A5" sqref="A5"/>
      <selection pane="bottomRight" activeCell="AV34" sqref="AV34"/>
    </sheetView>
  </sheetViews>
  <sheetFormatPr defaultRowHeight="12.75" x14ac:dyDescent="0.2"/>
  <cols>
    <col min="1" max="1" width="16" customWidth="1"/>
    <col min="2" max="2" width="7.5703125" customWidth="1"/>
    <col min="3" max="14" width="6.28515625" customWidth="1"/>
    <col min="15" max="15" width="6.5703125" customWidth="1"/>
    <col min="16" max="21" width="5.28515625" customWidth="1"/>
    <col min="22" max="22" width="6.28515625" customWidth="1"/>
    <col min="23" max="24" width="5.28515625" customWidth="1"/>
    <col min="25" max="28" width="5.7109375" customWidth="1"/>
    <col min="29" max="29" width="6.7109375" customWidth="1"/>
    <col min="30" max="33" width="5.140625" customWidth="1"/>
    <col min="34" max="35" width="6" customWidth="1"/>
    <col min="36" max="36" width="5.7109375" customWidth="1"/>
    <col min="37" max="37" width="9.85546875" customWidth="1"/>
    <col min="38" max="38" width="8.7109375" customWidth="1"/>
    <col min="39" max="39" width="8.42578125" customWidth="1"/>
    <col min="40" max="40" width="8.28515625" customWidth="1"/>
    <col min="41" max="41" width="8" customWidth="1"/>
    <col min="42" max="42" width="9.28515625" customWidth="1"/>
    <col min="43" max="43" width="7.85546875" customWidth="1"/>
  </cols>
  <sheetData>
    <row r="1" spans="1:46" x14ac:dyDescent="0.2">
      <c r="M1" t="s">
        <v>15</v>
      </c>
      <c r="T1" t="s">
        <v>15</v>
      </c>
      <c r="V1" t="s">
        <v>15</v>
      </c>
      <c r="X1" t="s">
        <v>15</v>
      </c>
    </row>
    <row r="2" spans="1:46" x14ac:dyDescent="0.2">
      <c r="A2" t="s">
        <v>36</v>
      </c>
      <c r="B2" s="10"/>
      <c r="C2" s="10"/>
      <c r="D2" s="11"/>
      <c r="E2" s="11"/>
      <c r="F2" s="10"/>
      <c r="G2" s="11"/>
      <c r="H2" s="10"/>
      <c r="I2" s="11"/>
      <c r="J2" s="11"/>
      <c r="K2" s="11"/>
      <c r="L2" s="10"/>
      <c r="M2" s="10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2"/>
      <c r="AH2" s="10"/>
      <c r="AI2" s="10"/>
      <c r="AJ2" s="10"/>
    </row>
    <row r="3" spans="1:46" x14ac:dyDescent="0.2">
      <c r="A3" t="s">
        <v>37</v>
      </c>
      <c r="B3" s="14"/>
      <c r="C3" s="14"/>
      <c r="D3" s="14"/>
      <c r="E3" s="14"/>
      <c r="F3" s="13"/>
      <c r="G3" s="14"/>
      <c r="H3" s="15"/>
      <c r="I3" s="13"/>
      <c r="J3" s="14"/>
      <c r="K3" s="14"/>
      <c r="L3" s="14"/>
      <c r="M3" s="14"/>
      <c r="N3" s="13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4"/>
      <c r="AJ3" s="13"/>
    </row>
    <row r="4" spans="1:46" ht="124.5" x14ac:dyDescent="0.2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69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120</v>
      </c>
      <c r="AG4" s="9" t="s">
        <v>41</v>
      </c>
      <c r="AH4" s="7" t="s">
        <v>5</v>
      </c>
      <c r="AI4" s="7" t="s">
        <v>68</v>
      </c>
      <c r="AJ4" s="7" t="s">
        <v>11</v>
      </c>
      <c r="AK4" s="4" t="s">
        <v>13</v>
      </c>
      <c r="AL4" s="1" t="s">
        <v>21</v>
      </c>
      <c r="AM4" s="1" t="s">
        <v>22</v>
      </c>
      <c r="AN4" s="1" t="s">
        <v>23</v>
      </c>
      <c r="AO4" s="1" t="s">
        <v>43</v>
      </c>
      <c r="AP4" s="1" t="s">
        <v>44</v>
      </c>
      <c r="AQ4" s="1" t="s">
        <v>45</v>
      </c>
    </row>
    <row r="5" spans="1:46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K5" s="5"/>
    </row>
    <row r="6" spans="1:46" x14ac:dyDescent="0.2">
      <c r="A6" t="s">
        <v>1</v>
      </c>
      <c r="B6" s="38">
        <f>14*31</f>
        <v>434</v>
      </c>
      <c r="C6" s="38">
        <v>1643</v>
      </c>
      <c r="D6" s="38"/>
      <c r="E6" s="38">
        <v>0</v>
      </c>
      <c r="F6" s="38">
        <v>3379</v>
      </c>
      <c r="G6" s="38">
        <v>527</v>
      </c>
      <c r="H6" s="38">
        <v>434</v>
      </c>
      <c r="I6" s="38">
        <v>2542</v>
      </c>
      <c r="J6" s="38">
        <v>1767</v>
      </c>
      <c r="K6" s="38">
        <v>1178</v>
      </c>
      <c r="L6" s="38"/>
      <c r="M6" s="38">
        <v>434</v>
      </c>
      <c r="N6" s="38">
        <v>2232</v>
      </c>
      <c r="O6" s="38">
        <v>806</v>
      </c>
      <c r="P6" s="38">
        <v>2852</v>
      </c>
      <c r="Q6" s="38">
        <v>8246</v>
      </c>
      <c r="R6" s="38">
        <v>3441</v>
      </c>
      <c r="S6" s="38">
        <v>6510</v>
      </c>
      <c r="T6" s="38">
        <v>1426</v>
      </c>
      <c r="U6" s="38">
        <v>775</v>
      </c>
      <c r="V6" s="38">
        <v>14384</v>
      </c>
      <c r="W6" s="38">
        <v>1798</v>
      </c>
      <c r="X6" s="38"/>
      <c r="Y6" s="38">
        <v>775</v>
      </c>
      <c r="Z6" s="38"/>
      <c r="AA6" s="38"/>
      <c r="AB6" s="38">
        <v>5580</v>
      </c>
      <c r="AC6" s="38">
        <v>12183</v>
      </c>
      <c r="AD6" s="38">
        <v>403</v>
      </c>
      <c r="AE6" s="38">
        <v>7781</v>
      </c>
      <c r="AF6" s="38"/>
      <c r="AG6" s="38">
        <v>0</v>
      </c>
      <c r="AH6" s="38">
        <v>1581</v>
      </c>
      <c r="AI6" s="38">
        <v>5394</v>
      </c>
      <c r="AJ6" s="38">
        <v>1054</v>
      </c>
      <c r="AK6" s="5">
        <f>SUM(B6:AJ6)</f>
        <v>89559</v>
      </c>
      <c r="AL6">
        <f>+AB6+Q6+V6+AC6+AE6+AG6+S6</f>
        <v>54684</v>
      </c>
      <c r="AM6" s="20">
        <f>+C6+E6+I6+N6+P6+R6+X6+D6+AI6+W6</f>
        <v>19902</v>
      </c>
      <c r="AN6">
        <f>+B6+F6+O6+Y6+AD6+AJ6+AH6+K6+L6+U6+T6+Z6+AA6+M6+J6+H6+G6</f>
        <v>14973</v>
      </c>
      <c r="AO6">
        <f>+P6+U6+X6+AJ6+N6+I6+F6</f>
        <v>12834</v>
      </c>
      <c r="AP6" s="20">
        <f>+B6+C6+J6+K6+L6+O6+Q6+R6+V6+Y6+AB6+AC6+AD6+AE6+AG6+AH6+S6+D6+AI6+W6+M6+E6+G6</f>
        <v>74865</v>
      </c>
      <c r="AQ6">
        <f>+AA6+Z6+T6+H6</f>
        <v>1860</v>
      </c>
      <c r="AR6">
        <f>+AL6+AM6+AN6</f>
        <v>89559</v>
      </c>
      <c r="AS6">
        <f>+AL6+AM6+AN6</f>
        <v>89559</v>
      </c>
      <c r="AT6">
        <f>+AQ6+AP6+AO6</f>
        <v>89559</v>
      </c>
    </row>
    <row r="7" spans="1:46" x14ac:dyDescent="0.2">
      <c r="A7" t="s">
        <v>2</v>
      </c>
      <c r="B7" s="38">
        <v>144</v>
      </c>
      <c r="C7" s="38">
        <v>674</v>
      </c>
      <c r="D7" s="38"/>
      <c r="E7" s="38">
        <f>+E6*0.622</f>
        <v>0</v>
      </c>
      <c r="F7" s="38">
        <f>+F6*0.57</f>
        <v>1926.0299999999997</v>
      </c>
      <c r="G7" s="38">
        <f>+G6*0.484</f>
        <v>255.06799999999998</v>
      </c>
      <c r="H7" s="38">
        <f>+H6*0.47</f>
        <v>203.98</v>
      </c>
      <c r="I7" s="38">
        <v>1434</v>
      </c>
      <c r="J7" s="38">
        <f>+J6*0.83</f>
        <v>1466.61</v>
      </c>
      <c r="K7" s="38">
        <f>+K6*0.57</f>
        <v>671.45999999999992</v>
      </c>
      <c r="L7" s="38"/>
      <c r="M7" s="38">
        <v>104</v>
      </c>
      <c r="N7" s="38">
        <v>1196</v>
      </c>
      <c r="O7" s="38">
        <v>220</v>
      </c>
      <c r="P7" s="38">
        <v>2275</v>
      </c>
      <c r="Q7" s="38">
        <f>+Q6*0.12</f>
        <v>989.52</v>
      </c>
      <c r="R7" s="38">
        <f>+R6*0.656</f>
        <v>2257.2960000000003</v>
      </c>
      <c r="S7" s="38">
        <f>+S6*0.38</f>
        <v>2473.8000000000002</v>
      </c>
      <c r="T7" s="38">
        <f>+T6*0.526</f>
        <v>750.07600000000002</v>
      </c>
      <c r="U7" s="38">
        <f>+U6*0.75</f>
        <v>581.25</v>
      </c>
      <c r="V7" s="38">
        <v>7754</v>
      </c>
      <c r="W7" s="38">
        <f>+W6*0.51</f>
        <v>916.98</v>
      </c>
      <c r="X7" s="38"/>
      <c r="Y7" s="38">
        <v>226</v>
      </c>
      <c r="Z7" s="38"/>
      <c r="AA7" s="38"/>
      <c r="AB7" s="38">
        <f>+AB6*0.87</f>
        <v>4854.6000000000004</v>
      </c>
      <c r="AC7" s="38">
        <f>AC6*0.8886</f>
        <v>10825.8138</v>
      </c>
      <c r="AD7" s="38">
        <v>264</v>
      </c>
      <c r="AE7" s="38">
        <v>4588</v>
      </c>
      <c r="AF7" s="38"/>
      <c r="AG7" s="38">
        <v>0</v>
      </c>
      <c r="AH7" s="38">
        <v>1443</v>
      </c>
      <c r="AI7" s="38">
        <v>3102</v>
      </c>
      <c r="AJ7" s="38">
        <f>+AJ6*0.5161</f>
        <v>543.96939999999995</v>
      </c>
      <c r="AK7" s="5">
        <f>SUM(B7:AJ7)</f>
        <v>52140.453200000004</v>
      </c>
      <c r="AL7">
        <f>+AB7+Q7+V7+AC7+AE7+AG7+S7</f>
        <v>31485.733799999998</v>
      </c>
      <c r="AM7" s="20">
        <f>+C7+E7+I7+N7+P7+R7+X7+D7+AI7+W7</f>
        <v>11855.276</v>
      </c>
      <c r="AN7">
        <f>+B7+F7+O7+Y7+AD7+AJ7+AH7+K7+L7+U7+T7+Z7+AA7+M7+J7+H7+G7</f>
        <v>8799.4433999999983</v>
      </c>
      <c r="AO7">
        <f>+P7+U7+X7+AJ7+N7+I7+F7</f>
        <v>7956.2493999999997</v>
      </c>
      <c r="AP7" s="20">
        <f>+B7+C7+J7+K7+L7+O7+Q7+R7+V7+Y7+AB7+AC7+AD7+AE7+AG7+AH7+S7+D7+AI7+W7+M7+E7+G7</f>
        <v>43230.147800000006</v>
      </c>
      <c r="AQ7">
        <f>+AA7+Z7+T7+H7</f>
        <v>954.05600000000004</v>
      </c>
      <c r="AR7">
        <f>+AL7+AM7+AN7</f>
        <v>52140.453199999996</v>
      </c>
    </row>
    <row r="8" spans="1:46" x14ac:dyDescent="0.2">
      <c r="A8" t="s">
        <v>4</v>
      </c>
      <c r="B8" s="3">
        <f>+B7/B6</f>
        <v>0.33179723502304148</v>
      </c>
      <c r="C8" s="3">
        <f>+C7/C6</f>
        <v>0.41022519780888617</v>
      </c>
      <c r="D8" s="3"/>
      <c r="E8" s="3">
        <v>0</v>
      </c>
      <c r="F8" s="3">
        <f>+F7/F6</f>
        <v>0.56999999999999995</v>
      </c>
      <c r="G8" s="3">
        <f>+G7/G6</f>
        <v>0.48399999999999999</v>
      </c>
      <c r="H8" s="3">
        <f t="shared" ref="H8:W8" si="0">+H7/H6</f>
        <v>0.47</v>
      </c>
      <c r="I8" s="3">
        <f t="shared" si="0"/>
        <v>0.56412273800157353</v>
      </c>
      <c r="J8" s="3">
        <f t="shared" si="0"/>
        <v>0.83</v>
      </c>
      <c r="K8" s="3">
        <f t="shared" si="0"/>
        <v>0.56999999999999995</v>
      </c>
      <c r="L8" s="38"/>
      <c r="M8" s="3">
        <f t="shared" si="0"/>
        <v>0.23963133640552994</v>
      </c>
      <c r="N8" s="3">
        <f t="shared" si="0"/>
        <v>0.53584229390681004</v>
      </c>
      <c r="O8" s="3">
        <f t="shared" si="0"/>
        <v>0.27295285359801491</v>
      </c>
      <c r="P8" s="3">
        <f t="shared" si="0"/>
        <v>0.79768583450210384</v>
      </c>
      <c r="Q8" s="3">
        <f>+Q7/Q6</f>
        <v>0.12</v>
      </c>
      <c r="R8" s="3">
        <f t="shared" si="0"/>
        <v>0.65600000000000003</v>
      </c>
      <c r="S8" s="3">
        <f t="shared" si="0"/>
        <v>0.38</v>
      </c>
      <c r="T8" s="3">
        <f t="shared" si="0"/>
        <v>0.52600000000000002</v>
      </c>
      <c r="U8" s="3">
        <f t="shared" si="0"/>
        <v>0.75</v>
      </c>
      <c r="V8" s="3">
        <f t="shared" si="0"/>
        <v>0.53907119021134597</v>
      </c>
      <c r="W8" s="3">
        <f t="shared" si="0"/>
        <v>0.51</v>
      </c>
      <c r="X8" s="3">
        <v>0</v>
      </c>
      <c r="Y8" s="3">
        <f>+Y7/Y6</f>
        <v>0.29161290322580646</v>
      </c>
      <c r="Z8" s="3"/>
      <c r="AA8" s="3"/>
      <c r="AB8" s="3">
        <f t="shared" ref="AB8:AQ8" si="1">+AB7/AB6</f>
        <v>0.87000000000000011</v>
      </c>
      <c r="AC8" s="3">
        <f t="shared" si="1"/>
        <v>0.88859999999999995</v>
      </c>
      <c r="AD8" s="3">
        <f t="shared" si="1"/>
        <v>0.6550868486352357</v>
      </c>
      <c r="AE8" s="3">
        <f t="shared" si="1"/>
        <v>0.58964143426294824</v>
      </c>
      <c r="AF8" s="3"/>
      <c r="AG8" s="3">
        <v>0</v>
      </c>
      <c r="AH8" s="3">
        <f t="shared" si="1"/>
        <v>0.91271347248576851</v>
      </c>
      <c r="AI8" s="3">
        <f t="shared" si="1"/>
        <v>0.57508342602892104</v>
      </c>
      <c r="AJ8" s="3">
        <f t="shared" si="1"/>
        <v>0.5161</v>
      </c>
      <c r="AK8" s="6">
        <f t="shared" si="1"/>
        <v>0.58219110530488283</v>
      </c>
      <c r="AL8" s="3">
        <f t="shared" si="1"/>
        <v>0.57577598200570546</v>
      </c>
      <c r="AM8" s="3">
        <f t="shared" si="1"/>
        <v>0.59568264496030554</v>
      </c>
      <c r="AN8" s="3">
        <f t="shared" si="1"/>
        <v>0.58768739731516717</v>
      </c>
      <c r="AO8" s="3">
        <f t="shared" si="1"/>
        <v>0.61993528128408915</v>
      </c>
      <c r="AP8" s="3">
        <f t="shared" si="1"/>
        <v>0.57744136512388977</v>
      </c>
      <c r="AQ8" s="3">
        <f t="shared" si="1"/>
        <v>0.51293333333333335</v>
      </c>
    </row>
    <row r="9" spans="1:46" x14ac:dyDescent="0.2">
      <c r="A9" s="20"/>
      <c r="B9" s="20">
        <v>1</v>
      </c>
      <c r="C9" s="20">
        <v>1</v>
      </c>
      <c r="D9" s="20"/>
      <c r="E9" s="20"/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38"/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/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/>
      <c r="AG9" s="20"/>
      <c r="AH9" s="20">
        <v>1</v>
      </c>
      <c r="AI9" s="20">
        <v>1</v>
      </c>
      <c r="AJ9" s="20">
        <v>1</v>
      </c>
      <c r="AK9" s="19">
        <f>SUM(B9:AJ9)</f>
        <v>27</v>
      </c>
      <c r="AL9" s="20">
        <f>+AB9+Q9+V9+AC9+AE9+AG9+S9</f>
        <v>6</v>
      </c>
      <c r="AM9" s="20">
        <f>+C9+E9+I9+N9+P9+R9+X9+D9+AI9+W9</f>
        <v>7</v>
      </c>
      <c r="AN9" s="20">
        <f>+B9+F9+O9+Y9+AD9+AJ9+AH9+K9+L9+U9+T9+Z9+AA9+M9+J9+H9+G9</f>
        <v>14</v>
      </c>
      <c r="AO9" s="20">
        <f>+P9+U9+X9+AJ9+N9+I9+F9</f>
        <v>6</v>
      </c>
      <c r="AP9" s="20">
        <f>+B9+C9+J9+K9+L9+O9+Q9+R9+V9+Y9+AB9+AC9+AD9+AE9+AG9+AH9+S9+D9+AI9+W9+M9+E9+G9</f>
        <v>19</v>
      </c>
      <c r="AQ9" s="20">
        <f>+AA9+Z9+T9+H9</f>
        <v>2</v>
      </c>
    </row>
    <row r="10" spans="1:46" x14ac:dyDescent="0.2">
      <c r="AA10" t="s">
        <v>15</v>
      </c>
    </row>
    <row r="11" spans="1:46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G11" s="1"/>
      <c r="AK11" s="5"/>
    </row>
    <row r="12" spans="1:46" x14ac:dyDescent="0.2">
      <c r="A12" t="s">
        <v>1</v>
      </c>
      <c r="B12" s="38">
        <f>434/31*28</f>
        <v>392</v>
      </c>
      <c r="C12" s="38">
        <f>1643/31*28</f>
        <v>1484</v>
      </c>
      <c r="D12" s="38"/>
      <c r="E12" s="38">
        <v>0</v>
      </c>
      <c r="F12" s="38">
        <f>3379/31*28</f>
        <v>3052</v>
      </c>
      <c r="G12" s="38">
        <f>527/31*28</f>
        <v>476</v>
      </c>
      <c r="H12" s="38">
        <f>434/31*28</f>
        <v>392</v>
      </c>
      <c r="I12" s="38">
        <f>2542/31*28</f>
        <v>2296</v>
      </c>
      <c r="J12" s="38">
        <v>1596</v>
      </c>
      <c r="K12" s="38">
        <v>1064</v>
      </c>
      <c r="L12" s="38">
        <v>700</v>
      </c>
      <c r="M12" s="38">
        <v>392</v>
      </c>
      <c r="N12" s="38">
        <v>2016</v>
      </c>
      <c r="O12" s="38">
        <v>700</v>
      </c>
      <c r="P12" s="38">
        <v>2576</v>
      </c>
      <c r="Q12" s="38">
        <v>7448</v>
      </c>
      <c r="R12" s="38">
        <f>3441/31*28</f>
        <v>3108</v>
      </c>
      <c r="S12" s="38">
        <f>6510/31*28</f>
        <v>5880</v>
      </c>
      <c r="T12" s="38">
        <v>1288</v>
      </c>
      <c r="U12" s="38">
        <f>775/31/28</f>
        <v>0.8928571428571429</v>
      </c>
      <c r="V12" s="38">
        <v>12992</v>
      </c>
      <c r="W12" s="38">
        <f>1798/31*28</f>
        <v>1624</v>
      </c>
      <c r="X12" s="38">
        <f>+X13/0.7286</f>
        <v>1119.9560801537193</v>
      </c>
      <c r="Y12" s="38">
        <v>700</v>
      </c>
      <c r="Z12" s="38"/>
      <c r="AA12" s="38"/>
      <c r="AB12" s="38">
        <v>5040</v>
      </c>
      <c r="AC12" s="38">
        <f>12183/31*28</f>
        <v>11004</v>
      </c>
      <c r="AD12" s="38">
        <f>13*28</f>
        <v>364</v>
      </c>
      <c r="AE12" s="38">
        <v>7028</v>
      </c>
      <c r="AF12" s="38">
        <v>1680</v>
      </c>
      <c r="AG12" s="38">
        <v>0</v>
      </c>
      <c r="AH12" s="38">
        <v>1428</v>
      </c>
      <c r="AI12" s="38">
        <v>4816</v>
      </c>
      <c r="AJ12" s="38">
        <f>1054/31*28</f>
        <v>952</v>
      </c>
      <c r="AK12" s="5">
        <f>SUM(B12:AJ12)</f>
        <v>83608.848937296571</v>
      </c>
      <c r="AL12">
        <f>+AB12+Q12+V12+AC12+AE12+AG12+S12</f>
        <v>49392</v>
      </c>
      <c r="AM12" s="20">
        <f>+C12+E12+I12+N12+P12+R12+X12+D12+AI12+W12+AF12</f>
        <v>20719.956080153719</v>
      </c>
      <c r="AN12">
        <f>+B12+F12+O12+Y12+AD12+AJ12+AH12+K12+L12+U12+T12+Z12+AA12+M12+J12+H12+G12</f>
        <v>13496.892857142857</v>
      </c>
      <c r="AO12">
        <f>+P12+U12+X12+AJ12+N12+I12+F12</f>
        <v>12012.848937296578</v>
      </c>
      <c r="AP12" s="20">
        <f>+B12+C12+J12+K12+L12+O12+Q12+R12+V12+Y12+AB12+AC12+AD12+AE12+AG12+AH12+S12+D12+AI12+W12+M12+E12+G12+AF12</f>
        <v>69916</v>
      </c>
      <c r="AQ12">
        <f>+AA12+Z12+T12+H12</f>
        <v>1680</v>
      </c>
      <c r="AR12">
        <f>+AL12+AM12+AN12</f>
        <v>83608.848937296571</v>
      </c>
      <c r="AS12">
        <f>+AL12+AM12+AN12</f>
        <v>83608.848937296571</v>
      </c>
    </row>
    <row r="13" spans="1:46" x14ac:dyDescent="0.2">
      <c r="A13" t="s">
        <v>2</v>
      </c>
      <c r="B13" s="38">
        <v>200</v>
      </c>
      <c r="C13" s="38">
        <f>+C12*0.58</f>
        <v>860.71999999999991</v>
      </c>
      <c r="D13" s="38"/>
      <c r="E13" s="38">
        <f>+E12*0.622</f>
        <v>0</v>
      </c>
      <c r="F13" s="38">
        <f>+F12*0.69</f>
        <v>2105.8799999999997</v>
      </c>
      <c r="G13" s="38">
        <v>304</v>
      </c>
      <c r="H13" s="38">
        <f>+H12*0.642</f>
        <v>251.66400000000002</v>
      </c>
      <c r="I13" s="38">
        <f>+I12*0.551</f>
        <v>1265.096</v>
      </c>
      <c r="J13" s="38">
        <f>+J12*0.9</f>
        <v>1436.4</v>
      </c>
      <c r="K13" s="38">
        <v>809</v>
      </c>
      <c r="L13" s="38">
        <f>+L12*0.72</f>
        <v>504</v>
      </c>
      <c r="M13" s="38">
        <v>146</v>
      </c>
      <c r="N13" s="38">
        <v>1581</v>
      </c>
      <c r="O13" s="38">
        <v>504</v>
      </c>
      <c r="P13" s="38">
        <v>2268</v>
      </c>
      <c r="Q13" s="38">
        <v>1043</v>
      </c>
      <c r="R13" s="38">
        <f>+R12*0.791</f>
        <v>2458.4280000000003</v>
      </c>
      <c r="S13" s="38">
        <f>+S12*0.372</f>
        <v>2187.36</v>
      </c>
      <c r="T13" s="38">
        <f>+T12*0.554</f>
        <v>713.55200000000002</v>
      </c>
      <c r="U13" s="38">
        <f>+U12*0.48</f>
        <v>0.4285714285714286</v>
      </c>
      <c r="V13" s="38">
        <v>10069</v>
      </c>
      <c r="W13" s="38">
        <f>+W12*0.7</f>
        <v>1136.8</v>
      </c>
      <c r="X13" s="38">
        <v>816</v>
      </c>
      <c r="Y13" s="38">
        <v>146</v>
      </c>
      <c r="Z13" s="38"/>
      <c r="AA13" s="38"/>
      <c r="AB13" s="38">
        <f>+AB12*0.9339</f>
        <v>4706.8559999999998</v>
      </c>
      <c r="AC13" s="38">
        <v>9646</v>
      </c>
      <c r="AD13" s="38">
        <v>310</v>
      </c>
      <c r="AE13" s="38">
        <v>4880</v>
      </c>
      <c r="AF13" s="38">
        <v>521</v>
      </c>
      <c r="AG13" s="38">
        <v>0</v>
      </c>
      <c r="AH13" s="38">
        <v>1332</v>
      </c>
      <c r="AI13" s="38">
        <v>3249</v>
      </c>
      <c r="AJ13" s="38">
        <f>+AJ12*0.6161</f>
        <v>586.52719999999999</v>
      </c>
      <c r="AK13" s="5">
        <f>SUM(C13:AJ13)</f>
        <v>55837.711771428571</v>
      </c>
      <c r="AL13">
        <f>+AB13+Q13+V13+AC13+AE13+AG13+S13</f>
        <v>32532.216</v>
      </c>
      <c r="AM13" s="20">
        <f>+C13+E13+I13+N13+P13+R13+X13+D13+AI13+W13+AF13</f>
        <v>14156.044</v>
      </c>
      <c r="AN13">
        <f>+B13+F13+O13+Y13+AD13+AJ13+AH13+K13+L13+U13+T13+Z13+AA13+M13+J13+H13+G13</f>
        <v>9349.4517714285721</v>
      </c>
      <c r="AO13">
        <f>+P13+U13+X13+AJ13+N13+I13+F13</f>
        <v>8622.9317714285698</v>
      </c>
      <c r="AP13" s="20">
        <f>+B13+C13+J13+K13+L13+O13+Q13+R13+V13+Y13+AB13+AC13+AD13+AE13+AG13+AH13+S13+D13+AI13+W13+M13+E13+G13+AF13</f>
        <v>46449.564000000006</v>
      </c>
      <c r="AQ13">
        <f>+AA13+Z13+T13+H13</f>
        <v>965.21600000000001</v>
      </c>
      <c r="AR13">
        <f>+AL13+AM13+AN13</f>
        <v>56037.711771428571</v>
      </c>
      <c r="AS13">
        <f>+AL13+AM13+AN13</f>
        <v>56037.711771428571</v>
      </c>
    </row>
    <row r="14" spans="1:46" x14ac:dyDescent="0.2">
      <c r="A14" t="s">
        <v>4</v>
      </c>
      <c r="B14" s="3">
        <f>+B13/B12</f>
        <v>0.51020408163265307</v>
      </c>
      <c r="C14" s="3">
        <f>+C13/C12</f>
        <v>0.57999999999999996</v>
      </c>
      <c r="D14" s="3"/>
      <c r="E14" s="3">
        <v>0</v>
      </c>
      <c r="F14" s="3">
        <f t="shared" ref="F14:X14" si="2">+F13/F12</f>
        <v>0.68999999999999984</v>
      </c>
      <c r="G14" s="3">
        <f t="shared" si="2"/>
        <v>0.6386554621848739</v>
      </c>
      <c r="H14" s="3">
        <f t="shared" si="2"/>
        <v>0.64200000000000002</v>
      </c>
      <c r="I14" s="3">
        <f t="shared" si="2"/>
        <v>0.55100000000000005</v>
      </c>
      <c r="J14" s="3">
        <f t="shared" si="2"/>
        <v>0.9</v>
      </c>
      <c r="K14" s="3">
        <f t="shared" si="2"/>
        <v>0.76033834586466165</v>
      </c>
      <c r="L14" s="3">
        <f t="shared" si="2"/>
        <v>0.72</v>
      </c>
      <c r="M14" s="3">
        <f t="shared" si="2"/>
        <v>0.37244897959183676</v>
      </c>
      <c r="N14" s="3">
        <f t="shared" si="2"/>
        <v>0.78422619047619047</v>
      </c>
      <c r="O14" s="3">
        <f t="shared" si="2"/>
        <v>0.72</v>
      </c>
      <c r="P14" s="3">
        <f t="shared" si="2"/>
        <v>0.88043478260869568</v>
      </c>
      <c r="Q14" s="3">
        <f t="shared" si="2"/>
        <v>0.14003759398496241</v>
      </c>
      <c r="R14" s="3">
        <f t="shared" si="2"/>
        <v>0.79100000000000015</v>
      </c>
      <c r="S14" s="3">
        <f t="shared" si="2"/>
        <v>0.372</v>
      </c>
      <c r="T14" s="3">
        <f t="shared" si="2"/>
        <v>0.55400000000000005</v>
      </c>
      <c r="U14" s="3">
        <f t="shared" si="2"/>
        <v>0.48</v>
      </c>
      <c r="V14" s="3">
        <f t="shared" si="2"/>
        <v>0.77501539408866993</v>
      </c>
      <c r="W14" s="3">
        <f t="shared" si="2"/>
        <v>0.7</v>
      </c>
      <c r="X14" s="3">
        <f t="shared" si="2"/>
        <v>0.72860000000000014</v>
      </c>
      <c r="Y14" s="3">
        <f>+Y13/Y12</f>
        <v>0.20857142857142857</v>
      </c>
      <c r="Z14" s="3"/>
      <c r="AA14" s="3"/>
      <c r="AB14" s="3">
        <f t="shared" ref="AB14:AK14" si="3">+AB13/AB12</f>
        <v>0.93389999999999995</v>
      </c>
      <c r="AC14" s="3">
        <f t="shared" si="3"/>
        <v>0.87659033078880411</v>
      </c>
      <c r="AD14" s="3">
        <f t="shared" si="3"/>
        <v>0.85164835164835162</v>
      </c>
      <c r="AE14" s="3">
        <f t="shared" si="3"/>
        <v>0.69436539556061472</v>
      </c>
      <c r="AF14" s="3">
        <f t="shared" si="3"/>
        <v>0.31011904761904763</v>
      </c>
      <c r="AG14" s="3">
        <v>0</v>
      </c>
      <c r="AH14" s="3">
        <f t="shared" si="3"/>
        <v>0.9327731092436975</v>
      </c>
      <c r="AI14" s="3">
        <f t="shared" si="3"/>
        <v>0.67462624584717612</v>
      </c>
      <c r="AJ14" s="3">
        <f t="shared" si="3"/>
        <v>0.61609999999999998</v>
      </c>
      <c r="AK14" s="6">
        <f t="shared" si="3"/>
        <v>0.66784452221444546</v>
      </c>
      <c r="AL14" s="3">
        <f t="shared" ref="AL14:AQ14" si="4">+AL13/AL12</f>
        <v>0.65865354713313895</v>
      </c>
      <c r="AM14" s="3">
        <f t="shared" si="4"/>
        <v>0.68320820494205303</v>
      </c>
      <c r="AN14" s="3">
        <f t="shared" si="4"/>
        <v>0.69271141664880542</v>
      </c>
      <c r="AO14" s="3">
        <f t="shared" si="4"/>
        <v>0.71780905732167732</v>
      </c>
      <c r="AP14" s="3">
        <f t="shared" si="4"/>
        <v>0.66436243492190639</v>
      </c>
      <c r="AQ14" s="3">
        <f t="shared" si="4"/>
        <v>0.57453333333333334</v>
      </c>
    </row>
    <row r="15" spans="1:46" x14ac:dyDescent="0.2">
      <c r="A15" s="20"/>
      <c r="B15" s="20">
        <v>1</v>
      </c>
      <c r="C15" s="20">
        <v>1</v>
      </c>
      <c r="D15" s="20"/>
      <c r="E15" s="20"/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/>
      <c r="AH15" s="20">
        <v>1</v>
      </c>
      <c r="AI15" s="20">
        <v>1</v>
      </c>
      <c r="AJ15" s="20">
        <v>1</v>
      </c>
      <c r="AK15" s="19">
        <f>SUM(B15:AJ15)</f>
        <v>30</v>
      </c>
      <c r="AL15" s="20">
        <f>+AB15+Q15+V15+AC15+AE15+AG15+S15</f>
        <v>6</v>
      </c>
      <c r="AM15" s="20">
        <f>+C15+E15+I15+N15+P15+R15+X15+D15+AI15+W15+AF15</f>
        <v>9</v>
      </c>
      <c r="AN15" s="20">
        <f>+B15+F15+O15+Y15+AD15+AJ15+AH15+K15+L15+U15+T15+Z15+AA15+M15+J15+H15+G15</f>
        <v>15</v>
      </c>
      <c r="AO15" s="20">
        <f>+P15+U15+X15+AJ15+N15+I15+F15</f>
        <v>7</v>
      </c>
      <c r="AP15" s="20">
        <f>+B15+C15+J15+K15+L15+O15+Q15+R15+V15+Y15+AB15+AC15+AD15+AE15+AG15+AH15+S15+D15+AI15+W15+M15+E15+G15+AF15</f>
        <v>21</v>
      </c>
      <c r="AQ15" s="20">
        <f>+AA15+Z15+T15+H15</f>
        <v>2</v>
      </c>
    </row>
    <row r="16" spans="1:46" x14ac:dyDescent="0.2">
      <c r="I16" t="s">
        <v>15</v>
      </c>
      <c r="AJ16" t="s">
        <v>15</v>
      </c>
    </row>
    <row r="17" spans="1:45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G17" s="1"/>
      <c r="AK17" s="5"/>
    </row>
    <row r="18" spans="1:45" x14ac:dyDescent="0.2">
      <c r="A18" t="s">
        <v>1</v>
      </c>
      <c r="B18" s="38">
        <v>434</v>
      </c>
      <c r="C18" s="38">
        <v>1643</v>
      </c>
      <c r="D18" s="38"/>
      <c r="E18" s="38">
        <v>0</v>
      </c>
      <c r="F18" s="38">
        <v>3379</v>
      </c>
      <c r="G18" s="38">
        <v>527</v>
      </c>
      <c r="H18" s="38">
        <v>434</v>
      </c>
      <c r="I18" s="38">
        <v>2542</v>
      </c>
      <c r="J18" s="38">
        <v>1767</v>
      </c>
      <c r="K18" s="38">
        <v>1178</v>
      </c>
      <c r="L18" s="38">
        <f>700/28*31</f>
        <v>775</v>
      </c>
      <c r="M18" s="38">
        <v>434</v>
      </c>
      <c r="N18" s="38">
        <v>2232</v>
      </c>
      <c r="O18" s="38">
        <v>868</v>
      </c>
      <c r="P18" s="38">
        <v>2914</v>
      </c>
      <c r="Q18" s="38">
        <v>8246</v>
      </c>
      <c r="R18" s="38">
        <v>3441</v>
      </c>
      <c r="S18" s="38">
        <v>6510</v>
      </c>
      <c r="T18" s="38">
        <v>1426</v>
      </c>
      <c r="U18" s="38">
        <v>775</v>
      </c>
      <c r="V18" s="38">
        <v>14384</v>
      </c>
      <c r="W18" s="38">
        <v>1798</v>
      </c>
      <c r="X18" s="38">
        <v>1240</v>
      </c>
      <c r="Y18" s="38">
        <v>775</v>
      </c>
      <c r="Z18" s="38"/>
      <c r="AA18" s="38"/>
      <c r="AB18" s="38">
        <v>5580</v>
      </c>
      <c r="AC18" s="38">
        <v>12183</v>
      </c>
      <c r="AD18" s="38">
        <v>403</v>
      </c>
      <c r="AE18" s="38">
        <v>7781</v>
      </c>
      <c r="AF18" s="38">
        <f>1680/28*31</f>
        <v>1860</v>
      </c>
      <c r="AG18" s="38">
        <v>0</v>
      </c>
      <c r="AH18" s="38">
        <v>1581</v>
      </c>
      <c r="AI18" s="38">
        <v>5394</v>
      </c>
      <c r="AJ18" s="38">
        <v>1054</v>
      </c>
      <c r="AK18" s="5">
        <f>SUM(B18:AJ18)</f>
        <v>93558</v>
      </c>
      <c r="AL18">
        <f>+AB18+Q18+V18+AC18+AE18+AG18+S18</f>
        <v>54684</v>
      </c>
      <c r="AM18" s="20">
        <f>+C18+E18+I18+N18+P18+R18+X18+D18+AI18+W18+AF18</f>
        <v>23064</v>
      </c>
      <c r="AN18">
        <f>+B18+F18+O18+Y18+AD18+AJ18+AH18+K18+L18+U18+T18+Z18+AA18+M18+J18+H18+G18</f>
        <v>15810</v>
      </c>
      <c r="AO18">
        <f>+P18+U18+X18+AJ18+N18+I18+F18</f>
        <v>14136</v>
      </c>
      <c r="AP18" s="20">
        <f>+B18+C18+J18+K18+L18+O18+Q18+R18+V18+Y18+AB18+AC18+AD18+AE18+AG18+AH18+S18+D18+AI18+W18+M18+E18+G18+AF18</f>
        <v>77562</v>
      </c>
      <c r="AQ18">
        <f>+AA18+Z18+T18+H18</f>
        <v>1860</v>
      </c>
      <c r="AR18">
        <f>+AL18+AM18+AN18</f>
        <v>93558</v>
      </c>
      <c r="AS18">
        <f>+AL18+AM18+AN18</f>
        <v>93558</v>
      </c>
    </row>
    <row r="19" spans="1:45" x14ac:dyDescent="0.2">
      <c r="A19" t="s">
        <v>2</v>
      </c>
      <c r="B19" s="38">
        <v>187</v>
      </c>
      <c r="C19" s="38">
        <f>+C18*0.38</f>
        <v>624.34</v>
      </c>
      <c r="D19" s="38"/>
      <c r="E19" s="38">
        <f>+E18*0.622</f>
        <v>0</v>
      </c>
      <c r="F19" s="38">
        <f>+F18*0.62</f>
        <v>2094.98</v>
      </c>
      <c r="G19" s="38">
        <v>388</v>
      </c>
      <c r="H19" s="38">
        <v>180</v>
      </c>
      <c r="I19" s="38">
        <v>1553</v>
      </c>
      <c r="J19" s="38">
        <f>+J18*0.94</f>
        <v>1660.98</v>
      </c>
      <c r="K19" s="38">
        <f>+K18*0.82</f>
        <v>965.95999999999992</v>
      </c>
      <c r="L19" s="38">
        <v>543</v>
      </c>
      <c r="M19" s="38">
        <v>243</v>
      </c>
      <c r="N19" s="38">
        <f>+N18*0.7325</f>
        <v>1634.94</v>
      </c>
      <c r="O19" s="38">
        <v>183</v>
      </c>
      <c r="P19" s="38">
        <v>2581</v>
      </c>
      <c r="Q19" s="38">
        <v>705</v>
      </c>
      <c r="R19" s="38">
        <f>+R18*0.604</f>
        <v>2078.364</v>
      </c>
      <c r="S19" s="38">
        <f>+S18*0.354</f>
        <v>2304.54</v>
      </c>
      <c r="T19" s="38">
        <f>+T18*0.492</f>
        <v>701.59199999999998</v>
      </c>
      <c r="U19" s="38">
        <f>+U18*0.65</f>
        <v>503.75</v>
      </c>
      <c r="V19" s="38">
        <v>11508</v>
      </c>
      <c r="W19" s="38">
        <f>+W18*0.58</f>
        <v>1042.8399999999999</v>
      </c>
      <c r="X19" s="38">
        <v>953</v>
      </c>
      <c r="Y19" s="38">
        <v>56</v>
      </c>
      <c r="Z19" s="38"/>
      <c r="AA19" s="38"/>
      <c r="AB19" s="38">
        <f>+AB18*0.85</f>
        <v>4743</v>
      </c>
      <c r="AC19" s="38">
        <f>+AC18*0.9154</f>
        <v>11152.3182</v>
      </c>
      <c r="AD19" s="38">
        <v>299</v>
      </c>
      <c r="AE19" s="38">
        <v>5363</v>
      </c>
      <c r="AF19" s="38">
        <f>+AF18*0.366</f>
        <v>680.76</v>
      </c>
      <c r="AG19" s="38">
        <v>0</v>
      </c>
      <c r="AH19" s="38">
        <v>1418</v>
      </c>
      <c r="AI19" s="38">
        <v>3944</v>
      </c>
      <c r="AJ19" s="38">
        <v>529</v>
      </c>
      <c r="AK19" s="5">
        <f>SUM(B19:AJ19)</f>
        <v>60821.364200000004</v>
      </c>
      <c r="AL19">
        <f>+AB19+Q19+V19+AC19+AE19+AG19+S19</f>
        <v>35775.858200000002</v>
      </c>
      <c r="AM19" s="20">
        <f>+C19+E19+I19+N19+P19+R19+X19+D19+AI19+W19+AF19</f>
        <v>15092.244000000001</v>
      </c>
      <c r="AN19">
        <f>+B19+F19+O19+Y19+AD19+AJ19+AH19+K19+L19+U19+T19+Z19+AA19+M19+J19+H19+G19</f>
        <v>9953.2619999999988</v>
      </c>
      <c r="AO19">
        <f>+P19+U19+X19+AJ19+N19+I19+F19</f>
        <v>9849.67</v>
      </c>
      <c r="AP19" s="20">
        <f>+B19+C19+J19+K19+L19+O19+Q19+R19+V19+Y19+AB19+AC19+AD19+AE19+AG19+AH19+S19+D19+AI19+W19+M19+E19+G19+AF19</f>
        <v>50090.102200000001</v>
      </c>
      <c r="AQ19">
        <f>+AA19+Z19+T19+H19</f>
        <v>881.59199999999998</v>
      </c>
      <c r="AR19">
        <f>+AL19+AM19+AN19</f>
        <v>60821.364199999996</v>
      </c>
      <c r="AS19">
        <f>+AL19+AM19+AN19</f>
        <v>60821.364199999996</v>
      </c>
    </row>
    <row r="20" spans="1:45" x14ac:dyDescent="0.2">
      <c r="A20" t="s">
        <v>4</v>
      </c>
      <c r="B20" s="3">
        <f>+B19/B18</f>
        <v>0.43087557603686638</v>
      </c>
      <c r="C20" s="3">
        <f>+C19/C18</f>
        <v>0.38</v>
      </c>
      <c r="D20" s="3"/>
      <c r="E20" s="3">
        <v>0</v>
      </c>
      <c r="F20" s="3">
        <f>+F19/F18</f>
        <v>0.62</v>
      </c>
      <c r="G20" s="3">
        <f>+G19/G18</f>
        <v>0.73624288425047435</v>
      </c>
      <c r="H20" s="3">
        <f t="shared" ref="H20:X20" si="5">+H19/H18</f>
        <v>0.41474654377880182</v>
      </c>
      <c r="I20" s="3">
        <f t="shared" si="5"/>
        <v>0.61093627065302913</v>
      </c>
      <c r="J20" s="3">
        <f t="shared" si="5"/>
        <v>0.94000000000000006</v>
      </c>
      <c r="K20" s="3">
        <f t="shared" si="5"/>
        <v>0.82</v>
      </c>
      <c r="L20" s="3">
        <f t="shared" si="5"/>
        <v>0.70064516129032262</v>
      </c>
      <c r="M20" s="3">
        <f t="shared" si="5"/>
        <v>0.55990783410138245</v>
      </c>
      <c r="N20" s="3">
        <f t="shared" si="5"/>
        <v>0.73250000000000004</v>
      </c>
      <c r="O20" s="3">
        <f t="shared" si="5"/>
        <v>0.21082949308755761</v>
      </c>
      <c r="P20" s="3">
        <f t="shared" si="5"/>
        <v>0.88572409059711732</v>
      </c>
      <c r="Q20" s="3">
        <f t="shared" si="5"/>
        <v>8.549599805966529E-2</v>
      </c>
      <c r="R20" s="3">
        <f t="shared" si="5"/>
        <v>0.60399999999999998</v>
      </c>
      <c r="S20" s="3">
        <f t="shared" si="5"/>
        <v>0.35399999999999998</v>
      </c>
      <c r="T20" s="3">
        <f t="shared" si="5"/>
        <v>0.49199999999999999</v>
      </c>
      <c r="U20" s="3">
        <f t="shared" si="5"/>
        <v>0.65</v>
      </c>
      <c r="V20" s="3">
        <f t="shared" si="5"/>
        <v>0.80005561735261399</v>
      </c>
      <c r="W20" s="3">
        <f t="shared" si="5"/>
        <v>0.57999999999999996</v>
      </c>
      <c r="X20" s="3">
        <f t="shared" si="5"/>
        <v>0.7685483870967742</v>
      </c>
      <c r="Y20" s="3">
        <f>+Y19/Y18</f>
        <v>7.2258064516129039E-2</v>
      </c>
      <c r="Z20" s="3"/>
      <c r="AA20" s="38"/>
      <c r="AB20" s="3">
        <f t="shared" ref="AB20:AK20" si="6">+AB19/AB18</f>
        <v>0.85</v>
      </c>
      <c r="AC20" s="3">
        <f t="shared" si="6"/>
        <v>0.91539999999999999</v>
      </c>
      <c r="AD20" s="3">
        <f t="shared" si="6"/>
        <v>0.74193548387096775</v>
      </c>
      <c r="AE20" s="3">
        <f t="shared" si="6"/>
        <v>0.68924302788844627</v>
      </c>
      <c r="AF20" s="3">
        <f t="shared" si="6"/>
        <v>0.36599999999999999</v>
      </c>
      <c r="AG20" s="3">
        <v>0</v>
      </c>
      <c r="AH20" s="3">
        <f t="shared" si="6"/>
        <v>0.89690069576217579</v>
      </c>
      <c r="AI20" s="3">
        <f t="shared" si="6"/>
        <v>0.73118279569892475</v>
      </c>
      <c r="AJ20" s="3">
        <f t="shared" si="6"/>
        <v>0.50189753320683117</v>
      </c>
      <c r="AK20" s="6">
        <f t="shared" si="6"/>
        <v>0.65009260779409572</v>
      </c>
      <c r="AL20" s="3">
        <f t="shared" ref="AL20:AQ20" si="7">+AL19/AL18</f>
        <v>0.65422899202691831</v>
      </c>
      <c r="AM20" s="3">
        <f t="shared" si="7"/>
        <v>0.65436368366285125</v>
      </c>
      <c r="AN20" s="3">
        <f t="shared" si="7"/>
        <v>0.62955483870967732</v>
      </c>
      <c r="AO20" s="3">
        <f t="shared" si="7"/>
        <v>0.69677914544425579</v>
      </c>
      <c r="AP20" s="3">
        <f t="shared" si="7"/>
        <v>0.64580725355199708</v>
      </c>
      <c r="AQ20" s="3">
        <f t="shared" si="7"/>
        <v>0.4739741935483871</v>
      </c>
    </row>
    <row r="21" spans="1:45" x14ac:dyDescent="0.2">
      <c r="A21" s="20"/>
      <c r="B21" s="20">
        <v>1</v>
      </c>
      <c r="C21" s="20">
        <v>1</v>
      </c>
      <c r="D21" s="20"/>
      <c r="E21" s="20"/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/>
      <c r="AA21" s="38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/>
      <c r="AH21" s="20">
        <v>1</v>
      </c>
      <c r="AI21" s="20">
        <v>1</v>
      </c>
      <c r="AJ21" s="20">
        <v>1</v>
      </c>
      <c r="AK21" s="19">
        <f>SUM(B21:AJ21)</f>
        <v>30</v>
      </c>
      <c r="AL21" s="20">
        <f>+AB21+Q21+V21+AC21+AE21+AG21+S21</f>
        <v>6</v>
      </c>
      <c r="AM21" s="20">
        <f>+C21+E21+I21+N21+P21+R21+X21+D21+AI21+W21+AF21</f>
        <v>9</v>
      </c>
      <c r="AN21" s="20">
        <f>+B21+F21+O21+Y21+AD21+AJ21+AH21+K21+L21+U21+T21+Z21+AA21+M21+J21+H21+G21</f>
        <v>15</v>
      </c>
      <c r="AO21" s="20">
        <f>+P21+U21+X21+AJ21+N21+I21+F21</f>
        <v>7</v>
      </c>
      <c r="AP21" s="20">
        <f>+B21+C21+J21+K21+L21+O21+Q21+R21+V21+Y21+AB21+AC21+AD21+AE21+AG21+AH21+S21+D21+AI21+W21+M21+E21+G21+AF21</f>
        <v>21</v>
      </c>
      <c r="AQ21" s="20">
        <f>+AA21+Z21+T21+H21</f>
        <v>2</v>
      </c>
    </row>
    <row r="22" spans="1:45" x14ac:dyDescent="0.2">
      <c r="B22" s="38"/>
    </row>
    <row r="23" spans="1:45" x14ac:dyDescent="0.2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B23" s="1"/>
      <c r="AC23" s="1"/>
      <c r="AD23" s="1"/>
      <c r="AE23" s="1"/>
      <c r="AF23" s="1"/>
      <c r="AG23" s="1"/>
      <c r="AK23" s="5"/>
    </row>
    <row r="24" spans="1:45" x14ac:dyDescent="0.2">
      <c r="A24" t="s">
        <v>1</v>
      </c>
      <c r="B24" s="38">
        <f>434/31*30</f>
        <v>420</v>
      </c>
      <c r="C24" s="38">
        <f>1643/31*30</f>
        <v>1590</v>
      </c>
      <c r="D24" s="38"/>
      <c r="E24" s="38"/>
      <c r="F24" s="38">
        <f>3379/31*30</f>
        <v>3270</v>
      </c>
      <c r="G24" s="38">
        <f>527/31*30</f>
        <v>510</v>
      </c>
      <c r="H24" s="38">
        <f>434/31*30</f>
        <v>420</v>
      </c>
      <c r="I24" s="38">
        <f>2542*31/30</f>
        <v>2626.7333333333331</v>
      </c>
      <c r="J24" s="38">
        <f>1767/31*30</f>
        <v>1710</v>
      </c>
      <c r="K24" s="38">
        <f>1178/31*30</f>
        <v>1140</v>
      </c>
      <c r="L24" s="38">
        <f>775/31*30</f>
        <v>750</v>
      </c>
      <c r="M24" s="38">
        <f>434/31*30</f>
        <v>420</v>
      </c>
      <c r="N24" s="38">
        <v>2160</v>
      </c>
      <c r="O24" s="38">
        <v>810</v>
      </c>
      <c r="P24" s="38">
        <v>2820</v>
      </c>
      <c r="Q24" s="38">
        <v>6728</v>
      </c>
      <c r="R24" s="38">
        <f>3441/31*30</f>
        <v>3330</v>
      </c>
      <c r="S24" s="38">
        <f>6510/31*30</f>
        <v>6300</v>
      </c>
      <c r="T24" s="38">
        <f>1426/31*30</f>
        <v>1380</v>
      </c>
      <c r="U24" s="38">
        <f>775/31*30</f>
        <v>750</v>
      </c>
      <c r="V24" s="38">
        <v>13920</v>
      </c>
      <c r="W24" s="38">
        <f>1798/31*30</f>
        <v>1740</v>
      </c>
      <c r="X24" s="38">
        <f>+X25/0.5642</f>
        <v>1336.405529953917</v>
      </c>
      <c r="Y24" s="38">
        <v>750</v>
      </c>
      <c r="Z24" s="38"/>
      <c r="AB24" s="38">
        <f>5580/31*30</f>
        <v>5400</v>
      </c>
      <c r="AC24" s="38">
        <f>12183/31*30</f>
        <v>11790</v>
      </c>
      <c r="AD24" s="38">
        <f>13*30</f>
        <v>390</v>
      </c>
      <c r="AE24" s="38">
        <v>7530</v>
      </c>
      <c r="AF24" s="38">
        <f>+AF25/0.431</f>
        <v>1798.1438515081206</v>
      </c>
      <c r="AG24" s="38">
        <v>0</v>
      </c>
      <c r="AH24" s="38">
        <v>1530</v>
      </c>
      <c r="AI24" s="38">
        <v>5220</v>
      </c>
      <c r="AJ24" s="38">
        <f>1054/31*30</f>
        <v>1020</v>
      </c>
      <c r="AK24" s="5">
        <f>SUM(B24:AJ24)</f>
        <v>89559.282714795379</v>
      </c>
      <c r="AL24">
        <f>+AB24+Q24+V24+AC24+AE24+AG24+S24</f>
        <v>51668</v>
      </c>
      <c r="AM24" s="20">
        <f>+C24+E24+I24+N24+P24+R24+X24+D24+AI24+W24+AF24</f>
        <v>22621.282714795372</v>
      </c>
      <c r="AN24">
        <f>+B24+F24+O24+Y24+AD24+AJ24+AH24+K24+L24+U24+T24+Z24+AA24+M24+J24+H24+G24</f>
        <v>15270</v>
      </c>
      <c r="AO24">
        <f>+P24+U24+X24+AJ24+N24+I24+F24</f>
        <v>13983.138863287249</v>
      </c>
      <c r="AP24" s="20">
        <f>+B24+C24+J24+K24+L24+O24+Q24+R24+V24+Y24+AB24+AC24+AD24+AE24+AG24+AH24+S24+D24+AI24+W24+M24+E24+G24+AF24</f>
        <v>73776.143851508124</v>
      </c>
      <c r="AQ24">
        <f>+AA24+Z24+T24+H24</f>
        <v>1800</v>
      </c>
      <c r="AR24">
        <f>+AL24+AM24+AN24</f>
        <v>89559.282714795379</v>
      </c>
    </row>
    <row r="25" spans="1:45" x14ac:dyDescent="0.2">
      <c r="A25" t="s">
        <v>2</v>
      </c>
      <c r="B25" s="38">
        <v>340</v>
      </c>
      <c r="C25" s="38">
        <f>+C24*0.3</f>
        <v>477</v>
      </c>
      <c r="D25" s="38"/>
      <c r="E25" s="38"/>
      <c r="F25" s="38">
        <f>+F24*0.44</f>
        <v>1438.8</v>
      </c>
      <c r="G25" s="38">
        <v>399</v>
      </c>
      <c r="H25" s="38">
        <v>339</v>
      </c>
      <c r="I25" s="38">
        <f>+I24*0.81</f>
        <v>2127.654</v>
      </c>
      <c r="J25" s="38">
        <f>+J24*0.8</f>
        <v>1368</v>
      </c>
      <c r="K25" s="38">
        <f>+K24*0.5</f>
        <v>570</v>
      </c>
      <c r="L25" s="38">
        <v>518</v>
      </c>
      <c r="M25" s="38">
        <v>219</v>
      </c>
      <c r="N25" s="38">
        <v>1083</v>
      </c>
      <c r="O25" s="38">
        <v>600</v>
      </c>
      <c r="P25" s="38">
        <v>1847</v>
      </c>
      <c r="Q25" s="38">
        <v>1211</v>
      </c>
      <c r="R25" s="38">
        <f>+R24*0.34</f>
        <v>1132.2</v>
      </c>
      <c r="S25" s="38">
        <f>+S24*0.26</f>
        <v>1638</v>
      </c>
      <c r="T25" s="38">
        <f>+T24*0.478</f>
        <v>659.64</v>
      </c>
      <c r="U25" s="38">
        <f>+U24*0.6</f>
        <v>450</v>
      </c>
      <c r="V25" s="38">
        <v>8609</v>
      </c>
      <c r="W25" s="38">
        <f>+W24*0.525</f>
        <v>913.5</v>
      </c>
      <c r="X25" s="38">
        <v>754</v>
      </c>
      <c r="Y25" s="38">
        <v>44</v>
      </c>
      <c r="Z25" s="38"/>
      <c r="AB25" s="38">
        <f>+AB24*0.6717</f>
        <v>3627.18</v>
      </c>
      <c r="AC25" s="38">
        <f>+AC24*0.8827</f>
        <v>10407.033000000001</v>
      </c>
      <c r="AD25" s="38">
        <v>239</v>
      </c>
      <c r="AE25" s="38">
        <v>5087</v>
      </c>
      <c r="AF25" s="38">
        <v>775</v>
      </c>
      <c r="AG25" s="38">
        <v>0</v>
      </c>
      <c r="AH25" s="38">
        <v>1304</v>
      </c>
      <c r="AI25" s="38">
        <v>3792</v>
      </c>
      <c r="AJ25" s="38">
        <v>348</v>
      </c>
      <c r="AK25" s="5">
        <f>SUM(B25:AJ25)</f>
        <v>52317.007000000005</v>
      </c>
      <c r="AL25">
        <f>+AB25+Q25+V25+AC25+AE25+AG25+S25</f>
        <v>30579.213000000003</v>
      </c>
      <c r="AM25" s="20">
        <f>+C25+E25+I25+N25+P25+R25+X25+D25+AI25+W25+AF25</f>
        <v>12901.353999999999</v>
      </c>
      <c r="AN25">
        <f>+B25+F25+O25+Y25+AD25+AJ25+AH25+K25+L25+U25+T25+Z25+AA25+M25+J25+H25+G25</f>
        <v>8836.44</v>
      </c>
      <c r="AO25">
        <f>+P25+U25+X25+AJ25+N25+I25+F25</f>
        <v>8048.4540000000006</v>
      </c>
      <c r="AP25" s="20">
        <f>+B25+C25+J25+K25+L25+O25+Q25+R25+V25+Y25+AB25+AC25+AD25+AE25+AG25+AH25+S25+D25+AI25+W25+M25+E25+G25+AF25</f>
        <v>43269.913</v>
      </c>
      <c r="AQ25">
        <f>+AA25+Z25+T25+H25</f>
        <v>998.64</v>
      </c>
      <c r="AR25">
        <f>+AL25+AM25+AN25</f>
        <v>52317.007000000005</v>
      </c>
    </row>
    <row r="26" spans="1:45" x14ac:dyDescent="0.2">
      <c r="A26" t="s">
        <v>4</v>
      </c>
      <c r="B26" s="3">
        <f>+B25/B24</f>
        <v>0.80952380952380953</v>
      </c>
      <c r="C26" s="3">
        <f>+C25/C24</f>
        <v>0.3</v>
      </c>
      <c r="D26" s="3"/>
      <c r="E26" s="3">
        <v>0</v>
      </c>
      <c r="F26" s="3">
        <f>+F25/F24</f>
        <v>0.44</v>
      </c>
      <c r="G26" s="3">
        <f>+G25/G24</f>
        <v>0.78235294117647058</v>
      </c>
      <c r="H26" s="3">
        <f t="shared" ref="H26:X26" si="8">+H25/H24</f>
        <v>0.80714285714285716</v>
      </c>
      <c r="I26" s="3">
        <f t="shared" si="8"/>
        <v>0.81</v>
      </c>
      <c r="J26" s="3">
        <f t="shared" si="8"/>
        <v>0.8</v>
      </c>
      <c r="K26" s="3">
        <f t="shared" si="8"/>
        <v>0.5</v>
      </c>
      <c r="L26" s="3">
        <f t="shared" si="8"/>
        <v>0.69066666666666665</v>
      </c>
      <c r="M26" s="3">
        <f t="shared" si="8"/>
        <v>0.52142857142857146</v>
      </c>
      <c r="N26" s="3">
        <f t="shared" si="8"/>
        <v>0.50138888888888888</v>
      </c>
      <c r="O26" s="3">
        <f>+O25/O24</f>
        <v>0.7407407407407407</v>
      </c>
      <c r="P26" s="3">
        <f t="shared" si="8"/>
        <v>0.65496453900709217</v>
      </c>
      <c r="Q26" s="3">
        <f>+Q25/Q24</f>
        <v>0.17999405469678953</v>
      </c>
      <c r="R26" s="3">
        <f t="shared" si="8"/>
        <v>0.34</v>
      </c>
      <c r="S26" s="3">
        <f t="shared" si="8"/>
        <v>0.26</v>
      </c>
      <c r="T26" s="3">
        <f t="shared" si="8"/>
        <v>0.47799999999999998</v>
      </c>
      <c r="U26" s="3">
        <f t="shared" si="8"/>
        <v>0.6</v>
      </c>
      <c r="V26" s="3">
        <f t="shared" si="8"/>
        <v>0.61846264367816095</v>
      </c>
      <c r="W26" s="3">
        <f t="shared" si="8"/>
        <v>0.52500000000000002</v>
      </c>
      <c r="X26" s="3">
        <f t="shared" si="8"/>
        <v>0.56420000000000003</v>
      </c>
      <c r="Y26" s="3">
        <f>+Y25/Y24</f>
        <v>5.8666666666666666E-2</v>
      </c>
      <c r="Z26" s="3"/>
      <c r="AB26" s="3">
        <f t="shared" ref="AB26:AJ26" si="9">+AB25/AB24</f>
        <v>0.67169999999999996</v>
      </c>
      <c r="AC26" s="3">
        <f t="shared" si="9"/>
        <v>0.88270000000000015</v>
      </c>
      <c r="AD26" s="3">
        <f t="shared" si="9"/>
        <v>0.61282051282051286</v>
      </c>
      <c r="AE26" s="3">
        <f t="shared" si="9"/>
        <v>0.67556440903054449</v>
      </c>
      <c r="AF26" s="3">
        <f t="shared" si="9"/>
        <v>0.43099999999999999</v>
      </c>
      <c r="AG26" s="3">
        <v>0</v>
      </c>
      <c r="AH26" s="3">
        <f t="shared" si="9"/>
        <v>0.85228758169934637</v>
      </c>
      <c r="AI26" s="3">
        <f t="shared" si="9"/>
        <v>0.72643678160919545</v>
      </c>
      <c r="AJ26" s="3">
        <f t="shared" si="9"/>
        <v>0.3411764705882353</v>
      </c>
      <c r="AK26" s="6">
        <f t="shared" ref="AK26:AQ26" si="10">+AK25/AK24</f>
        <v>0.58416062985458828</v>
      </c>
      <c r="AL26" s="3">
        <f t="shared" si="10"/>
        <v>0.59184046218162123</v>
      </c>
      <c r="AM26" s="3">
        <f t="shared" si="10"/>
        <v>0.570319294562457</v>
      </c>
      <c r="AN26" s="3">
        <f t="shared" si="10"/>
        <v>0.578679764243615</v>
      </c>
      <c r="AO26" s="3">
        <f t="shared" si="10"/>
        <v>0.57558278428681187</v>
      </c>
      <c r="AP26" s="3">
        <f t="shared" si="10"/>
        <v>0.58650277367560577</v>
      </c>
      <c r="AQ26" s="3">
        <f t="shared" si="10"/>
        <v>0.55479999999999996</v>
      </c>
    </row>
    <row r="27" spans="1:45" x14ac:dyDescent="0.2">
      <c r="A27" s="20"/>
      <c r="B27" s="20">
        <v>1</v>
      </c>
      <c r="C27" s="20">
        <v>1</v>
      </c>
      <c r="D27" s="20"/>
      <c r="E27" s="20"/>
      <c r="F27" s="20">
        <v>1</v>
      </c>
      <c r="G27" s="20">
        <v>1</v>
      </c>
      <c r="H27" s="20">
        <v>1</v>
      </c>
      <c r="I27" s="20">
        <v>1</v>
      </c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/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/>
      <c r="AH27" s="20">
        <v>1</v>
      </c>
      <c r="AI27" s="20">
        <v>1</v>
      </c>
      <c r="AJ27" s="20">
        <v>1</v>
      </c>
      <c r="AK27" s="19">
        <f>SUM(B27:AJ27)</f>
        <v>30</v>
      </c>
      <c r="AL27" s="20">
        <f>+AB27+Q27+V27+AC27+AE27+AG27+S27</f>
        <v>6</v>
      </c>
      <c r="AM27" s="20">
        <f>+C27+E27+I27+N27+P27+R27+X27+D27+AI27+W27+AF27</f>
        <v>9</v>
      </c>
      <c r="AN27" s="20">
        <f>+B27+F27+O27+Y27+AD27+AJ27+AH27+K27+L27+U27+T27+Z27+AA27+M27+J27+H27+G27</f>
        <v>15</v>
      </c>
      <c r="AO27" s="20">
        <f>+P27+U27+X27+AJ27+N27+I27+F27</f>
        <v>7</v>
      </c>
      <c r="AP27" s="20">
        <f>+B27+C27+J27+K27+L27+O27+Q27+R27+V27+Y27+AB27+AC27+AD27+AE27+AG27+AH27+S27+D27+AI27+W27+M27+E27+G27+AF27</f>
        <v>21</v>
      </c>
      <c r="AQ27" s="20">
        <f>+AA27+Z27+T27+H27</f>
        <v>2</v>
      </c>
    </row>
    <row r="29" spans="1:45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B29" s="1"/>
      <c r="AC29" s="1"/>
      <c r="AD29" s="1"/>
      <c r="AE29" s="1"/>
      <c r="AF29" s="1"/>
      <c r="AG29" s="1"/>
      <c r="AK29" s="5"/>
    </row>
    <row r="30" spans="1:45" x14ac:dyDescent="0.2">
      <c r="A30" t="s">
        <v>1</v>
      </c>
      <c r="B30" s="38">
        <v>0</v>
      </c>
      <c r="C30" s="38">
        <v>1643</v>
      </c>
      <c r="D30" s="38"/>
      <c r="E30" s="38"/>
      <c r="F30" s="38">
        <v>3379</v>
      </c>
      <c r="G30" s="38">
        <v>527</v>
      </c>
      <c r="H30" s="38">
        <v>434</v>
      </c>
      <c r="I30" s="38">
        <v>2542</v>
      </c>
      <c r="J30" s="38">
        <v>1767</v>
      </c>
      <c r="K30" s="38">
        <v>1178</v>
      </c>
      <c r="L30" s="38">
        <v>775</v>
      </c>
      <c r="M30" s="38">
        <v>434</v>
      </c>
      <c r="N30" s="38">
        <v>2232</v>
      </c>
      <c r="O30" s="38">
        <v>341</v>
      </c>
      <c r="P30" s="38">
        <v>3038</v>
      </c>
      <c r="Q30" s="38"/>
      <c r="R30" s="38">
        <v>3441</v>
      </c>
      <c r="S30" s="38">
        <v>6510</v>
      </c>
      <c r="T30" s="38">
        <v>1426</v>
      </c>
      <c r="U30" s="38">
        <v>775</v>
      </c>
      <c r="V30" s="38">
        <v>14384</v>
      </c>
      <c r="W30" s="38">
        <v>1798</v>
      </c>
      <c r="X30" s="38">
        <v>1018</v>
      </c>
      <c r="Y30" s="38"/>
      <c r="Z30" s="38"/>
      <c r="AA30" s="38"/>
      <c r="AB30" s="38">
        <v>5580</v>
      </c>
      <c r="AC30" s="38">
        <v>12183</v>
      </c>
      <c r="AD30" s="38">
        <v>403</v>
      </c>
      <c r="AE30" s="38">
        <v>7781</v>
      </c>
      <c r="AF30" s="38">
        <v>1860</v>
      </c>
      <c r="AG30" s="38"/>
      <c r="AH30" s="38">
        <v>1556</v>
      </c>
      <c r="AI30" s="38">
        <v>5394</v>
      </c>
      <c r="AJ30" s="38">
        <v>1054</v>
      </c>
      <c r="AK30" s="5">
        <f>SUM(B30:AJ30)</f>
        <v>83453</v>
      </c>
      <c r="AL30">
        <f>+AB30+Q30+V30+AC30+AE30+AG30+S30</f>
        <v>46438</v>
      </c>
      <c r="AM30" s="20">
        <f>+C30+E30+I30+N30+P30+R30+X30+D30+AI30+W30+AF30</f>
        <v>22966</v>
      </c>
      <c r="AN30">
        <f>+B30+F30+O30+Y30+AD30+AJ30+AH30+K30+L30+U30+T30+Z30+AA30+M30+J30+H30+G30</f>
        <v>14049</v>
      </c>
      <c r="AO30">
        <f>+P30+U30+X30+AJ30+N30+I30+F30</f>
        <v>14038</v>
      </c>
      <c r="AP30" s="20">
        <f>+B30+C30+J30+K30+L30+O30+Q30+R30+V30+Y30+AB30+AC30+AD30+AE30+AG30+AH30+S30+D30+AI30+W30+M30+E30+G30+AF30</f>
        <v>67555</v>
      </c>
      <c r="AQ30">
        <f>+AA30+Z30+T30+H30</f>
        <v>1860</v>
      </c>
      <c r="AR30">
        <f>+AL30+AM30+AN30</f>
        <v>83453</v>
      </c>
      <c r="AS30">
        <f>+AO30+AP30+AQ30</f>
        <v>83453</v>
      </c>
    </row>
    <row r="31" spans="1:45" x14ac:dyDescent="0.2">
      <c r="A31" t="s">
        <v>2</v>
      </c>
      <c r="B31" s="38">
        <v>0</v>
      </c>
      <c r="C31" s="38">
        <v>329</v>
      </c>
      <c r="D31" s="38"/>
      <c r="E31" s="38"/>
      <c r="F31" s="38">
        <f>+F30*0.47</f>
        <v>1588.1299999999999</v>
      </c>
      <c r="G31" s="38">
        <v>211</v>
      </c>
      <c r="H31" s="38">
        <v>57</v>
      </c>
      <c r="I31" s="38">
        <v>1385</v>
      </c>
      <c r="J31" s="38">
        <f>+J30*0.91</f>
        <v>1607.97</v>
      </c>
      <c r="K31" s="38">
        <v>719</v>
      </c>
      <c r="L31" s="38">
        <f>+L30*0.8</f>
        <v>620</v>
      </c>
      <c r="M31" s="38">
        <f>434-346</f>
        <v>88</v>
      </c>
      <c r="N31" s="38">
        <v>652</v>
      </c>
      <c r="O31" s="38">
        <v>22</v>
      </c>
      <c r="P31" s="38">
        <v>2638</v>
      </c>
      <c r="Q31" s="38"/>
      <c r="R31" s="38">
        <f>+R30*0.333</f>
        <v>1145.8530000000001</v>
      </c>
      <c r="S31" s="38">
        <f>+S30*0.416</f>
        <v>2708.16</v>
      </c>
      <c r="T31" s="38">
        <f>+T30*0.404</f>
        <v>576.10400000000004</v>
      </c>
      <c r="U31" s="38">
        <f>+U30*0.6</f>
        <v>465</v>
      </c>
      <c r="V31" s="38">
        <v>5419</v>
      </c>
      <c r="W31" s="38">
        <f>+W30*0.544</f>
        <v>978.11200000000008</v>
      </c>
      <c r="X31" s="38">
        <v>550</v>
      </c>
      <c r="Y31" s="38"/>
      <c r="Z31" s="38"/>
      <c r="AA31" s="38"/>
      <c r="AB31" s="38">
        <f>+AB30*0.5048</f>
        <v>2816.7840000000001</v>
      </c>
      <c r="AC31" s="38">
        <f>+AC30*0.8518</f>
        <v>10377.4794</v>
      </c>
      <c r="AD31" s="38">
        <v>216</v>
      </c>
      <c r="AE31" s="38">
        <v>2926</v>
      </c>
      <c r="AF31" s="38">
        <f>+AF30*0.401</f>
        <v>745.86</v>
      </c>
      <c r="AG31" s="38"/>
      <c r="AH31" s="38">
        <v>1210</v>
      </c>
      <c r="AI31" s="38">
        <v>3713</v>
      </c>
      <c r="AJ31" s="38">
        <f>+AJ30*0.2362</f>
        <v>248.95480000000001</v>
      </c>
      <c r="AK31" s="5">
        <f>SUM(B31:AJ31)</f>
        <v>44013.407200000001</v>
      </c>
      <c r="AL31">
        <f>+AB31+Q31+V31+AC31+AE31+AG31+S31</f>
        <v>24247.4234</v>
      </c>
      <c r="AM31" s="20">
        <f>+C31+E31+I31+N31+P31+R31+X31+D31+AI31+W31+AF31</f>
        <v>12136.825000000001</v>
      </c>
      <c r="AN31">
        <f>+B31+F31+O31+Y31+AD31+AJ31+AH31+K31+L31+U31+T31+Z31+AA31+M31+J31+H31+G31</f>
        <v>7629.1588000000011</v>
      </c>
      <c r="AO31">
        <f>+P31+U31+X31+AJ31+N31+I31+F31</f>
        <v>7527.0847999999996</v>
      </c>
      <c r="AP31" s="20">
        <f>+B31+C31+J31+K31+L31+O31+Q31+R31+V31+Y31+AB31+AC31+AD31+AE31+AG31+AH31+S31+D31+AI31+W31+M31+E31+G31+AF31</f>
        <v>35853.218400000005</v>
      </c>
      <c r="AQ31">
        <f>+AA31+Z31+T31+H31</f>
        <v>633.10400000000004</v>
      </c>
      <c r="AR31">
        <f>+AL31+AM31+AN31</f>
        <v>44013.407200000001</v>
      </c>
      <c r="AS31">
        <f>+AO31+AP31+AQ31</f>
        <v>44013.407200000001</v>
      </c>
    </row>
    <row r="32" spans="1:45" x14ac:dyDescent="0.2">
      <c r="A32" t="s">
        <v>4</v>
      </c>
      <c r="B32" s="3">
        <v>0</v>
      </c>
      <c r="C32" s="3">
        <f>+C31/C30</f>
        <v>0.20024345709068778</v>
      </c>
      <c r="D32" s="3"/>
      <c r="E32" s="3">
        <v>0</v>
      </c>
      <c r="F32" s="3">
        <f t="shared" ref="F32:X32" si="11">+F31/F30</f>
        <v>0.47</v>
      </c>
      <c r="G32" s="3">
        <f t="shared" si="11"/>
        <v>0.40037950664136623</v>
      </c>
      <c r="H32" s="3">
        <f t="shared" si="11"/>
        <v>0.1313364055299539</v>
      </c>
      <c r="I32" s="3">
        <f t="shared" si="11"/>
        <v>0.544846577498033</v>
      </c>
      <c r="J32" s="3">
        <f t="shared" si="11"/>
        <v>0.91</v>
      </c>
      <c r="K32" s="3">
        <f t="shared" si="11"/>
        <v>0.61035653650254673</v>
      </c>
      <c r="L32" s="3">
        <f t="shared" si="11"/>
        <v>0.8</v>
      </c>
      <c r="M32" s="3">
        <f t="shared" si="11"/>
        <v>0.20276497695852536</v>
      </c>
      <c r="N32" s="3">
        <f t="shared" si="11"/>
        <v>0.29211469534050177</v>
      </c>
      <c r="O32" s="3">
        <f t="shared" si="11"/>
        <v>6.4516129032258063E-2</v>
      </c>
      <c r="P32" s="3">
        <f t="shared" si="11"/>
        <v>0.86833443054641213</v>
      </c>
      <c r="Q32" s="3" t="e">
        <f t="shared" si="11"/>
        <v>#DIV/0!</v>
      </c>
      <c r="R32" s="3">
        <f t="shared" si="11"/>
        <v>0.33300000000000002</v>
      </c>
      <c r="S32" s="3">
        <f t="shared" si="11"/>
        <v>0.41599999999999998</v>
      </c>
      <c r="T32" s="3">
        <f t="shared" si="11"/>
        <v>0.40400000000000003</v>
      </c>
      <c r="U32" s="3">
        <f t="shared" si="11"/>
        <v>0.6</v>
      </c>
      <c r="V32" s="3">
        <f t="shared" si="11"/>
        <v>0.376738042269188</v>
      </c>
      <c r="W32" s="3">
        <f t="shared" si="11"/>
        <v>0.54400000000000004</v>
      </c>
      <c r="X32" s="3">
        <f t="shared" si="11"/>
        <v>0.54027504911591351</v>
      </c>
      <c r="Y32" s="3">
        <v>0</v>
      </c>
      <c r="Z32" s="3"/>
      <c r="AB32" s="3">
        <f>+AB31/AB30</f>
        <v>0.50480000000000003</v>
      </c>
      <c r="AC32" s="3">
        <f>+AC31/AC30</f>
        <v>0.8518</v>
      </c>
      <c r="AD32" s="3">
        <f>+AD31/AD30</f>
        <v>0.53598014888337464</v>
      </c>
      <c r="AE32" s="3">
        <f>+AE31/AE30</f>
        <v>0.37604421025575119</v>
      </c>
      <c r="AF32" s="3">
        <f>+AF31/AF30</f>
        <v>0.40100000000000002</v>
      </c>
      <c r="AG32" s="3">
        <v>0</v>
      </c>
      <c r="AH32" s="3">
        <f t="shared" ref="AH32:AQ32" si="12">+AH31/AH30</f>
        <v>0.77763496143958866</v>
      </c>
      <c r="AI32" s="3">
        <f t="shared" si="12"/>
        <v>0.68835743418613271</v>
      </c>
      <c r="AJ32" s="3">
        <f t="shared" si="12"/>
        <v>0.23619999999999999</v>
      </c>
      <c r="AK32" s="6">
        <f t="shared" si="12"/>
        <v>0.52740353492384939</v>
      </c>
      <c r="AL32" s="3">
        <f t="shared" si="12"/>
        <v>0.52214616047202722</v>
      </c>
      <c r="AM32" s="3">
        <f t="shared" si="12"/>
        <v>0.5284692589044675</v>
      </c>
      <c r="AN32" s="3">
        <f t="shared" si="12"/>
        <v>0.54303927681685538</v>
      </c>
      <c r="AO32" s="3">
        <f t="shared" si="12"/>
        <v>0.53619353184214269</v>
      </c>
      <c r="AP32" s="3">
        <f t="shared" si="12"/>
        <v>0.5307263474206203</v>
      </c>
      <c r="AQ32" s="3">
        <f t="shared" si="12"/>
        <v>0.34037849462365594</v>
      </c>
    </row>
    <row r="33" spans="1:45" x14ac:dyDescent="0.2">
      <c r="A33" s="20"/>
      <c r="B33" s="20"/>
      <c r="C33" s="20">
        <v>1</v>
      </c>
      <c r="D33" s="20"/>
      <c r="E33" s="20"/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/>
      <c r="Z33" s="20"/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/>
      <c r="AH33" s="20">
        <v>1</v>
      </c>
      <c r="AI33" s="20">
        <v>1</v>
      </c>
      <c r="AJ33" s="20">
        <v>1</v>
      </c>
      <c r="AK33" s="19">
        <f>SUM(B33:AJ33)</f>
        <v>27</v>
      </c>
      <c r="AL33" s="20">
        <f>+AB33+Q33+V33+AC33+AE33+AG33+S33</f>
        <v>5</v>
      </c>
      <c r="AM33" s="20">
        <f>+C33+E33+I33+N33+P33+R33+X33+D33+AI33+W33+AF33</f>
        <v>9</v>
      </c>
      <c r="AN33" s="20">
        <f>+B33+F33+O33+Y33+AD33+AJ33+AH33+K33+L33+U33+T33+Z33+AA33+M33+J33+H33+G33</f>
        <v>13</v>
      </c>
      <c r="AO33" s="20">
        <f>+P33+U33+X33+AJ33+N33+I33+F33</f>
        <v>7</v>
      </c>
      <c r="AP33" s="20">
        <f>+B33+C33+J33+K33+L33+O33+Q33+R33+V33+Y33+AB33+AC33+AD33+AE33+AG33+AH33+S33+D33+AI33+W33+M33+E33+G33+AF33</f>
        <v>18</v>
      </c>
      <c r="AQ33" s="20">
        <f>+AA33+Z33+T33+H33</f>
        <v>2</v>
      </c>
    </row>
    <row r="34" spans="1:45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B34" s="20"/>
      <c r="AC34" s="20"/>
      <c r="AD34" s="20"/>
      <c r="AE34" s="20"/>
      <c r="AF34" s="20"/>
      <c r="AG34" s="20"/>
      <c r="AH34" s="20"/>
      <c r="AI34" s="20"/>
      <c r="AJ34" s="20"/>
      <c r="AK34" s="19"/>
      <c r="AL34" s="20"/>
      <c r="AM34" s="20"/>
      <c r="AN34" s="20"/>
      <c r="AO34" s="20"/>
      <c r="AP34" s="20"/>
      <c r="AQ34" s="20"/>
    </row>
    <row r="35" spans="1:45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B35" s="1"/>
      <c r="AC35" s="1"/>
      <c r="AD35" s="1"/>
      <c r="AE35" s="1"/>
      <c r="AF35" s="1"/>
      <c r="AG35" s="1"/>
      <c r="AK35" s="5"/>
    </row>
    <row r="36" spans="1:45" x14ac:dyDescent="0.2">
      <c r="A36" t="s">
        <v>1</v>
      </c>
      <c r="B36" s="38">
        <v>0</v>
      </c>
      <c r="C36" s="38">
        <v>1590</v>
      </c>
      <c r="D36" s="38"/>
      <c r="E36" s="38"/>
      <c r="F36" s="38">
        <v>3270</v>
      </c>
      <c r="G36" s="38">
        <v>510</v>
      </c>
      <c r="H36" s="38">
        <v>420</v>
      </c>
      <c r="I36" s="38">
        <v>2627</v>
      </c>
      <c r="J36" s="38">
        <v>1710</v>
      </c>
      <c r="K36" s="38">
        <v>1140</v>
      </c>
      <c r="L36" s="38">
        <v>750</v>
      </c>
      <c r="M36" s="38"/>
      <c r="N36" s="38">
        <v>2160</v>
      </c>
      <c r="O36" s="38"/>
      <c r="P36" s="38">
        <v>2940</v>
      </c>
      <c r="Q36" s="38"/>
      <c r="R36" s="38">
        <v>3330</v>
      </c>
      <c r="S36" s="38">
        <v>6300</v>
      </c>
      <c r="T36" s="38">
        <v>1380</v>
      </c>
      <c r="U36" s="38">
        <v>750</v>
      </c>
      <c r="V36" s="38">
        <v>13920</v>
      </c>
      <c r="W36" s="38">
        <v>1740</v>
      </c>
      <c r="X36" s="38">
        <f>+X37/0.56</f>
        <v>1201.7857142857142</v>
      </c>
      <c r="Y36" s="38"/>
      <c r="Z36" s="38"/>
      <c r="AA36" s="38"/>
      <c r="AB36" s="38">
        <v>5400</v>
      </c>
      <c r="AC36" s="38">
        <v>11790</v>
      </c>
      <c r="AD36" s="38">
        <v>390</v>
      </c>
      <c r="AE36" s="38">
        <v>7530</v>
      </c>
      <c r="AF36" s="38">
        <f>+AF37/0.31</f>
        <v>1809.6774193548388</v>
      </c>
      <c r="AG36" s="38"/>
      <c r="AH36" s="38">
        <v>1530</v>
      </c>
      <c r="AI36" s="38">
        <v>5220</v>
      </c>
      <c r="AJ36" s="38"/>
      <c r="AK36" s="5">
        <f>SUM(B36:AJ36)</f>
        <v>79408.463133640544</v>
      </c>
      <c r="AL36">
        <f>+AB36+Q36+V36+AC36+AE36+AG36+S36</f>
        <v>44940</v>
      </c>
      <c r="AM36" s="20">
        <f>+C36+E36+I36+N36+P36+R36+X36+D36+AI36+W36+AF36</f>
        <v>22618.463133640551</v>
      </c>
      <c r="AN36">
        <f>+B36+F36+O36+Y36+AD36+AJ36+AH36+K36+L36+U36+T36+Z36+AA36+M36+J36+H36+G36</f>
        <v>11850</v>
      </c>
      <c r="AO36">
        <f>+P36+U36+X36+AJ36+N36+I36+F36</f>
        <v>12948.785714285714</v>
      </c>
      <c r="AP36" s="20">
        <f>+B36+C36+J36+K36+L36+O36+Q36+R36+V36+Y36+AB36+AC36+AD36+AE36+AG36+AH36+S36+D36+AI36+W36+M36+E36+G36+AF36</f>
        <v>64659.677419354841</v>
      </c>
      <c r="AQ36">
        <f>+AA36+Z36+T36+H36</f>
        <v>1800</v>
      </c>
      <c r="AR36">
        <f>+AL36+AM36+AN36</f>
        <v>79408.463133640558</v>
      </c>
      <c r="AS36">
        <f>+AO36+AP36+AQ36</f>
        <v>79408.463133640558</v>
      </c>
    </row>
    <row r="37" spans="1:45" x14ac:dyDescent="0.2">
      <c r="A37" t="s">
        <v>2</v>
      </c>
      <c r="B37" s="38">
        <v>0</v>
      </c>
      <c r="C37" s="38">
        <f>+C36*0.11</f>
        <v>174.9</v>
      </c>
      <c r="D37" s="38"/>
      <c r="E37" s="38"/>
      <c r="F37" s="38">
        <f>+F36*0.39</f>
        <v>1275.3</v>
      </c>
      <c r="G37" s="38">
        <v>172</v>
      </c>
      <c r="H37" s="38">
        <v>20</v>
      </c>
      <c r="I37" s="38">
        <f>+I36*0.406</f>
        <v>1066.5620000000001</v>
      </c>
      <c r="J37" s="38">
        <f>+J36*0.84</f>
        <v>1436.3999999999999</v>
      </c>
      <c r="K37" s="38">
        <v>490</v>
      </c>
      <c r="L37" s="38">
        <v>608</v>
      </c>
      <c r="M37" s="38"/>
      <c r="N37" s="38">
        <v>434</v>
      </c>
      <c r="O37" s="38"/>
      <c r="P37" s="38">
        <v>1943</v>
      </c>
      <c r="Q37" s="38"/>
      <c r="R37" s="38">
        <f>+R36*0.271</f>
        <v>902.43000000000006</v>
      </c>
      <c r="S37" s="38">
        <f>+S36*0.319</f>
        <v>2009.7</v>
      </c>
      <c r="T37" s="38">
        <f>+T36*0.455</f>
        <v>627.9</v>
      </c>
      <c r="U37" s="38">
        <f>+U36*0.85</f>
        <v>637.5</v>
      </c>
      <c r="V37" s="38">
        <v>5282</v>
      </c>
      <c r="W37" s="38">
        <f>+W36*0.31</f>
        <v>539.4</v>
      </c>
      <c r="X37" s="38">
        <v>673</v>
      </c>
      <c r="Y37" s="38"/>
      <c r="Z37" s="38"/>
      <c r="AA37" s="38"/>
      <c r="AB37" s="38">
        <f>+AB36*0.4669</f>
        <v>2521.2599999999998</v>
      </c>
      <c r="AC37" s="38">
        <v>10847</v>
      </c>
      <c r="AD37" s="38">
        <v>150</v>
      </c>
      <c r="AE37" s="38">
        <v>2850</v>
      </c>
      <c r="AF37" s="38">
        <v>561</v>
      </c>
      <c r="AG37" s="38"/>
      <c r="AH37" s="38">
        <v>1198</v>
      </c>
      <c r="AI37" s="38">
        <v>2891</v>
      </c>
      <c r="AJ37" s="38"/>
      <c r="AK37" s="5">
        <f>SUM(B37:AJ37)</f>
        <v>39310.351999999999</v>
      </c>
      <c r="AL37">
        <f>+AB37+Q37+V37+AC37+AE37+AG37+S37</f>
        <v>23509.960000000003</v>
      </c>
      <c r="AM37" s="20">
        <f>+C37+E37+I37+N37+P37+R37+X37+D37+AI37+W37+AF37</f>
        <v>9185.2920000000013</v>
      </c>
      <c r="AN37">
        <f>+B37+F37+O37+Y37+AD37+AJ37+AH37+K37+L37+U37+T37+Z37+AA37+M37+J37+H37+G37</f>
        <v>6615.0999999999995</v>
      </c>
      <c r="AO37">
        <f>+P37+U37+X37+AJ37+N37+I37+F37</f>
        <v>6029.3620000000001</v>
      </c>
      <c r="AP37" s="20">
        <f>+B37+C37+J37+K37+L37+O37+Q37+R37+V37+Y37+AB37+AC37+AD37+AE37+AG37+AH37+S37+D37+AI37+W37+M37+E37+G37+AF37</f>
        <v>32633.09</v>
      </c>
      <c r="AQ37">
        <f>+AA37+Z37+T37+H37</f>
        <v>647.9</v>
      </c>
      <c r="AR37">
        <f>+AL37+AM37+AN37</f>
        <v>39310.352000000006</v>
      </c>
      <c r="AS37">
        <f>+AO37+AP37+AQ37</f>
        <v>39310.351999999999</v>
      </c>
    </row>
    <row r="38" spans="1:45" x14ac:dyDescent="0.2">
      <c r="A38" t="s">
        <v>4</v>
      </c>
      <c r="B38" s="3">
        <v>0</v>
      </c>
      <c r="C38" s="3">
        <f>+C37/C36</f>
        <v>0.11</v>
      </c>
      <c r="D38" s="3"/>
      <c r="E38" s="3">
        <v>0</v>
      </c>
      <c r="F38" s="3">
        <f t="shared" ref="F38:N38" si="13">+F37/F36</f>
        <v>0.39</v>
      </c>
      <c r="G38" s="3">
        <f t="shared" si="13"/>
        <v>0.33725490196078434</v>
      </c>
      <c r="H38" s="3">
        <f t="shared" si="13"/>
        <v>4.7619047619047616E-2</v>
      </c>
      <c r="I38" s="3">
        <f t="shared" si="13"/>
        <v>0.40600000000000003</v>
      </c>
      <c r="J38" s="3">
        <f t="shared" si="13"/>
        <v>0.84</v>
      </c>
      <c r="K38" s="3">
        <f t="shared" si="13"/>
        <v>0.42982456140350878</v>
      </c>
      <c r="L38" s="3">
        <f t="shared" si="13"/>
        <v>0.81066666666666665</v>
      </c>
      <c r="M38" s="3">
        <v>0</v>
      </c>
      <c r="N38" s="3">
        <f t="shared" si="13"/>
        <v>0.20092592592592592</v>
      </c>
      <c r="O38" s="3">
        <v>0</v>
      </c>
      <c r="P38" s="3">
        <f t="shared" ref="P38:X38" si="14">+P37/P36</f>
        <v>0.66088435374149657</v>
      </c>
      <c r="Q38" s="3" t="e">
        <f t="shared" si="14"/>
        <v>#DIV/0!</v>
      </c>
      <c r="R38" s="3">
        <f t="shared" si="14"/>
        <v>0.27100000000000002</v>
      </c>
      <c r="S38" s="3">
        <f t="shared" si="14"/>
        <v>0.31900000000000001</v>
      </c>
      <c r="T38" s="3">
        <f t="shared" si="14"/>
        <v>0.45499999999999996</v>
      </c>
      <c r="U38" s="3">
        <f t="shared" si="14"/>
        <v>0.85</v>
      </c>
      <c r="V38" s="3">
        <f t="shared" si="14"/>
        <v>0.37945402298850572</v>
      </c>
      <c r="W38" s="3">
        <f t="shared" si="14"/>
        <v>0.31</v>
      </c>
      <c r="X38" s="3">
        <f t="shared" si="14"/>
        <v>0.56000000000000005</v>
      </c>
      <c r="Y38" s="3">
        <v>0</v>
      </c>
      <c r="Z38" s="3"/>
      <c r="AB38" s="3">
        <f>+AB37/AB36</f>
        <v>0.46689999999999998</v>
      </c>
      <c r="AC38" s="3">
        <f>+AC37/AC36</f>
        <v>0.92001696352841389</v>
      </c>
      <c r="AD38" s="3">
        <f>+AD37/AD36</f>
        <v>0.38461538461538464</v>
      </c>
      <c r="AE38" s="3">
        <f>+AE37/AE36</f>
        <v>0.37848605577689243</v>
      </c>
      <c r="AF38" s="3">
        <f>+AF37/AF36</f>
        <v>0.31</v>
      </c>
      <c r="AG38" s="3">
        <v>0</v>
      </c>
      <c r="AH38" s="3">
        <f>+AH37/AH36</f>
        <v>0.78300653594771241</v>
      </c>
      <c r="AI38" s="3">
        <f>+AI37/AI36</f>
        <v>0.55383141762452104</v>
      </c>
      <c r="AJ38" s="3">
        <v>0</v>
      </c>
      <c r="AK38" s="6">
        <f t="shared" ref="AK38:AQ38" si="15">+AK37/AK36</f>
        <v>0.49503982886361381</v>
      </c>
      <c r="AL38" s="3">
        <f t="shared" si="15"/>
        <v>0.52314107699154433</v>
      </c>
      <c r="AM38" s="3">
        <f t="shared" si="15"/>
        <v>0.40609708739842149</v>
      </c>
      <c r="AN38" s="3">
        <f t="shared" si="15"/>
        <v>0.55823628691983118</v>
      </c>
      <c r="AO38" s="3">
        <f t="shared" si="15"/>
        <v>0.46563146020310786</v>
      </c>
      <c r="AP38" s="3">
        <f t="shared" si="15"/>
        <v>0.50468995983935738</v>
      </c>
      <c r="AQ38" s="3">
        <f t="shared" si="15"/>
        <v>0.35994444444444446</v>
      </c>
    </row>
    <row r="39" spans="1:45" x14ac:dyDescent="0.2">
      <c r="A39" s="20"/>
      <c r="B39" s="20"/>
      <c r="C39" s="20">
        <v>1</v>
      </c>
      <c r="D39" s="20"/>
      <c r="E39" s="20"/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>
        <v>1</v>
      </c>
      <c r="L39" s="20">
        <v>1</v>
      </c>
      <c r="M39" s="20"/>
      <c r="N39" s="20">
        <v>1</v>
      </c>
      <c r="O39" s="20"/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/>
      <c r="Z39" s="20"/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/>
      <c r="AH39" s="20">
        <v>1</v>
      </c>
      <c r="AI39" s="20">
        <v>1</v>
      </c>
      <c r="AJ39" s="20"/>
      <c r="AK39" s="19">
        <f>SUM(B39:AJ39)</f>
        <v>24</v>
      </c>
      <c r="AL39" s="20">
        <f>+AB39+Q39+V39+AC39+AE39+AG39+S39</f>
        <v>5</v>
      </c>
      <c r="AM39" s="20">
        <f>+C39+E39+I39+N39+P39+R39+X39+D39+AI39+W39+AF39</f>
        <v>9</v>
      </c>
      <c r="AN39" s="20">
        <f>+B39+F39+O39+Y39+AD39+AJ39+AH39+K39+L39+U39+T39+Z39+AA39+M39+J39+H39+G39</f>
        <v>10</v>
      </c>
      <c r="AO39" s="20">
        <f>+P39+U39+X39+AJ39+N39+I39+F39</f>
        <v>6</v>
      </c>
      <c r="AP39" s="20">
        <f>+B39+C39+J39+K39+L39+O39+Q39+R39+V39+Y39+AB39+AC39+AD39+AE39+AG39+AH39+S39+D39+AI39+W39+M39+E39+G39+AF39</f>
        <v>16</v>
      </c>
      <c r="AQ39" s="20">
        <f>+AA39+Z39+T39+H39</f>
        <v>2</v>
      </c>
    </row>
    <row r="40" spans="1:45" x14ac:dyDescent="0.2">
      <c r="I40" s="5"/>
    </row>
    <row r="41" spans="1:45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G41" s="1"/>
      <c r="AK41" s="5"/>
    </row>
    <row r="42" spans="1:45" x14ac:dyDescent="0.2">
      <c r="A42" t="s">
        <v>1</v>
      </c>
      <c r="B42" s="38"/>
      <c r="C42" s="38">
        <v>1643</v>
      </c>
      <c r="D42" s="38"/>
      <c r="E42" s="38"/>
      <c r="F42" s="38">
        <v>3379</v>
      </c>
      <c r="G42" s="38">
        <v>527</v>
      </c>
      <c r="H42" s="38">
        <v>434</v>
      </c>
      <c r="I42" s="38">
        <v>2542</v>
      </c>
      <c r="J42" s="38">
        <v>1767</v>
      </c>
      <c r="K42" s="38">
        <v>1178</v>
      </c>
      <c r="L42" s="38">
        <v>775</v>
      </c>
      <c r="M42" s="38"/>
      <c r="N42" s="38">
        <v>2160</v>
      </c>
      <c r="O42" s="38"/>
      <c r="P42" s="38">
        <v>3038</v>
      </c>
      <c r="Q42" s="38">
        <v>8246</v>
      </c>
      <c r="R42" s="38">
        <v>3441</v>
      </c>
      <c r="S42" s="38">
        <v>6510</v>
      </c>
      <c r="T42" s="38">
        <v>1426</v>
      </c>
      <c r="U42" s="38">
        <v>775</v>
      </c>
      <c r="V42" s="38">
        <v>14384</v>
      </c>
      <c r="W42" s="38">
        <v>1798</v>
      </c>
      <c r="X42" s="38">
        <v>1240</v>
      </c>
      <c r="Y42" s="38"/>
      <c r="Z42" s="38"/>
      <c r="AA42" s="38"/>
      <c r="AB42" s="38">
        <v>5580</v>
      </c>
      <c r="AC42" s="38">
        <v>12183</v>
      </c>
      <c r="AD42" s="38">
        <v>403</v>
      </c>
      <c r="AE42" s="38">
        <v>6417</v>
      </c>
      <c r="AF42" s="38">
        <v>1860</v>
      </c>
      <c r="AG42" s="38"/>
      <c r="AH42" s="38">
        <v>1581</v>
      </c>
      <c r="AI42" s="38">
        <v>5394</v>
      </c>
      <c r="AJ42" s="38">
        <v>1054</v>
      </c>
      <c r="AK42" s="5">
        <f>SUM(B42:AJ42)</f>
        <v>89735</v>
      </c>
      <c r="AL42">
        <f>+AB42+Q42+V42+AC42+AE42+AG42+S42</f>
        <v>53320</v>
      </c>
      <c r="AM42" s="20">
        <f>+C42+E42+I42+N42+P42+R42+X42+D42+AI42+W42+AF42</f>
        <v>23116</v>
      </c>
      <c r="AN42">
        <f>+B42+F42+O42+Y42+AD42+AJ42+AH42+K42+L42+U42+T42+Z42+AA42+M42+J42+H42+G42</f>
        <v>13299</v>
      </c>
      <c r="AO42">
        <f>+P42+U42+X42+AJ42+N42+I42+F42</f>
        <v>14188</v>
      </c>
      <c r="AP42" s="20">
        <f>+B42+C42+J42+K42+L42+O42+Q42+R42+V42+Y42+AB42+AC42+AD42+AE42+AG42+AH42+S42+D42+AI42+W42+M42+E42+G42+AF42</f>
        <v>73687</v>
      </c>
      <c r="AQ42">
        <f>+AA42+Z42+T42+H42</f>
        <v>1860</v>
      </c>
      <c r="AR42">
        <f>+AL42+AM42+AN42</f>
        <v>89735</v>
      </c>
      <c r="AS42">
        <f>+AO42+AP42+AQ42</f>
        <v>89735</v>
      </c>
    </row>
    <row r="43" spans="1:45" x14ac:dyDescent="0.2">
      <c r="A43" t="s">
        <v>2</v>
      </c>
      <c r="B43" s="38"/>
      <c r="C43" s="38">
        <f>+C42*0.15</f>
        <v>246.45</v>
      </c>
      <c r="D43" s="38"/>
      <c r="E43" s="38"/>
      <c r="F43" s="38">
        <f>+F42*0.39</f>
        <v>1317.81</v>
      </c>
      <c r="G43" s="38">
        <f>+G42*0.611</f>
        <v>321.99700000000001</v>
      </c>
      <c r="H43" s="38">
        <f>+H42*0.177</f>
        <v>76.817999999999998</v>
      </c>
      <c r="I43" s="38">
        <v>948</v>
      </c>
      <c r="J43" s="38">
        <f>+J42*0.77</f>
        <v>1360.59</v>
      </c>
      <c r="K43" s="38">
        <f>+K42*0.3</f>
        <v>353.4</v>
      </c>
      <c r="L43" s="38">
        <f>+L42*0.67</f>
        <v>519.25</v>
      </c>
      <c r="M43" s="38"/>
      <c r="N43" s="38">
        <v>542</v>
      </c>
      <c r="O43" s="38"/>
      <c r="P43" s="38">
        <v>1548</v>
      </c>
      <c r="Q43" s="38">
        <f>+Q42*0.133</f>
        <v>1096.7180000000001</v>
      </c>
      <c r="R43" s="38">
        <f>+R42*0.21</f>
        <v>722.61</v>
      </c>
      <c r="S43" s="38">
        <f>+S42*0.4</f>
        <v>2604</v>
      </c>
      <c r="T43" s="38">
        <f>+T42*0.496</f>
        <v>707.29600000000005</v>
      </c>
      <c r="U43" s="38">
        <f>+U42*0.7</f>
        <v>542.5</v>
      </c>
      <c r="V43" s="38">
        <v>5306</v>
      </c>
      <c r="W43" s="38">
        <f>+W42*0.565</f>
        <v>1015.8699999999999</v>
      </c>
      <c r="X43" s="38">
        <v>694</v>
      </c>
      <c r="Y43" s="38"/>
      <c r="Z43" s="38"/>
      <c r="AA43" s="38"/>
      <c r="AB43" s="38">
        <f>+AB42*0.4996</f>
        <v>2787.768</v>
      </c>
      <c r="AC43" s="38">
        <f>+AC42*0.8266</f>
        <v>10070.4678</v>
      </c>
      <c r="AD43" s="38">
        <v>292</v>
      </c>
      <c r="AE43" s="38">
        <v>3654</v>
      </c>
      <c r="AF43" s="38">
        <f>+AF42*0.25</f>
        <v>465</v>
      </c>
      <c r="AG43" s="38"/>
      <c r="AH43" s="38">
        <v>1178</v>
      </c>
      <c r="AI43" s="38">
        <v>3513</v>
      </c>
      <c r="AJ43" s="38">
        <f>+AJ42*0.155</f>
        <v>163.37</v>
      </c>
      <c r="AK43" s="5">
        <f>SUM(B43:AJ43)</f>
        <v>42046.914799999999</v>
      </c>
      <c r="AL43">
        <f>+AB43+Q43+V43+AC43+AE43+AG43+S43</f>
        <v>25518.953800000003</v>
      </c>
      <c r="AM43" s="20">
        <f>+C43+E43+I43+N43+P43+R43+X43+D43+AI43+W43+AF43</f>
        <v>9694.93</v>
      </c>
      <c r="AN43">
        <f>+B43+F43+O43+Y43+AD43+AJ43+AH43+K43+L43+U43+T43+Z43+AA43+M43+J43+H43+G43</f>
        <v>6833.0310000000009</v>
      </c>
      <c r="AO43">
        <f>+P43+U43+X43+AJ43+N43+I43+F43</f>
        <v>5755.68</v>
      </c>
      <c r="AP43" s="20">
        <f>+B43+C43+J43+K43+L43+O43+Q43+R43+V43+Y43+AB43+AC43+AD43+AE43+AG43+AH43+S43+D43+AI43+W43+M43+E43+G43+AF43</f>
        <v>35507.120800000004</v>
      </c>
      <c r="AQ43">
        <f>+AA43+Z43+T43+H43</f>
        <v>784.11400000000003</v>
      </c>
      <c r="AR43">
        <f>+AL43+AM43+AN43</f>
        <v>42046.914800000006</v>
      </c>
      <c r="AS43">
        <f>+AO43+AP43+AQ43</f>
        <v>42046.914800000006</v>
      </c>
    </row>
    <row r="44" spans="1:45" x14ac:dyDescent="0.2">
      <c r="A44" t="s">
        <v>4</v>
      </c>
      <c r="C44" s="3">
        <f>+C43/C42</f>
        <v>0.15</v>
      </c>
      <c r="D44" s="3"/>
      <c r="E44" s="3">
        <v>0</v>
      </c>
      <c r="F44" s="3">
        <f t="shared" ref="F44:L44" si="16">+F43/F42</f>
        <v>0.38999999999999996</v>
      </c>
      <c r="G44" s="3">
        <f t="shared" si="16"/>
        <v>0.61099999999999999</v>
      </c>
      <c r="H44" s="3">
        <f t="shared" si="16"/>
        <v>0.17699999999999999</v>
      </c>
      <c r="I44" s="3">
        <f t="shared" si="16"/>
        <v>0.37293469708890636</v>
      </c>
      <c r="J44" s="3">
        <f t="shared" si="16"/>
        <v>0.76999999999999991</v>
      </c>
      <c r="K44" s="3">
        <f t="shared" si="16"/>
        <v>0.3</v>
      </c>
      <c r="L44" s="3">
        <f t="shared" si="16"/>
        <v>0.67</v>
      </c>
      <c r="M44" s="3">
        <v>0</v>
      </c>
      <c r="N44" s="3">
        <f>+N43/N42</f>
        <v>0.25092592592592594</v>
      </c>
      <c r="O44" s="3">
        <v>0</v>
      </c>
      <c r="P44" s="3">
        <f t="shared" ref="P44:V44" si="17">+P43/P42</f>
        <v>0.50954575378538514</v>
      </c>
      <c r="Q44" s="3">
        <f t="shared" si="17"/>
        <v>0.13300000000000001</v>
      </c>
      <c r="R44" s="3">
        <f t="shared" si="17"/>
        <v>0.21</v>
      </c>
      <c r="S44" s="3">
        <f t="shared" si="17"/>
        <v>0.4</v>
      </c>
      <c r="T44" s="3">
        <f t="shared" si="17"/>
        <v>0.49600000000000005</v>
      </c>
      <c r="U44" s="3">
        <f t="shared" si="17"/>
        <v>0.7</v>
      </c>
      <c r="V44" s="3">
        <f t="shared" si="17"/>
        <v>0.3688820912124583</v>
      </c>
      <c r="W44" s="3">
        <f>+W43/W42</f>
        <v>0.56499999999999995</v>
      </c>
      <c r="X44" s="3">
        <f>+X43/X42</f>
        <v>0.55967741935483872</v>
      </c>
      <c r="Y44" s="3">
        <v>0</v>
      </c>
      <c r="Z44" s="3"/>
      <c r="AA44" s="3">
        <v>0</v>
      </c>
      <c r="AB44" s="3">
        <f>+AB43/AB42</f>
        <v>0.49959999999999999</v>
      </c>
      <c r="AC44" s="3">
        <f>+AC43/AC42</f>
        <v>0.8266</v>
      </c>
      <c r="AD44" s="3">
        <f>+AD43/AD42</f>
        <v>0.72456575682382129</v>
      </c>
      <c r="AE44" s="3">
        <f>+AE43/AE42</f>
        <v>0.56942496493688644</v>
      </c>
      <c r="AF44" s="3">
        <f>+AF43/AF42</f>
        <v>0.25</v>
      </c>
      <c r="AG44" s="3">
        <v>0</v>
      </c>
      <c r="AH44" s="3">
        <f t="shared" ref="AH44:AQ44" si="18">+AH43/AH42</f>
        <v>0.74509803921568629</v>
      </c>
      <c r="AI44" s="3">
        <f t="shared" si="18"/>
        <v>0.65127919911012233</v>
      </c>
      <c r="AJ44" s="3">
        <f t="shared" si="18"/>
        <v>0.155</v>
      </c>
      <c r="AK44" s="6">
        <f t="shared" si="18"/>
        <v>0.46856761352872345</v>
      </c>
      <c r="AL44" s="3">
        <f t="shared" si="18"/>
        <v>0.47860003375843968</v>
      </c>
      <c r="AM44" s="3">
        <f t="shared" si="18"/>
        <v>0.41940344350233605</v>
      </c>
      <c r="AN44" s="3">
        <f t="shared" si="18"/>
        <v>0.5138003609293933</v>
      </c>
      <c r="AO44" s="3">
        <f t="shared" si="18"/>
        <v>0.40567239921060055</v>
      </c>
      <c r="AP44" s="3">
        <f t="shared" si="18"/>
        <v>0.48186411171577082</v>
      </c>
      <c r="AQ44" s="3">
        <f t="shared" si="18"/>
        <v>0.4215666666666667</v>
      </c>
    </row>
    <row r="45" spans="1:45" x14ac:dyDescent="0.2">
      <c r="A45" s="20"/>
      <c r="B45" s="38"/>
      <c r="C45" s="39">
        <v>1</v>
      </c>
      <c r="D45" s="39"/>
      <c r="E45" s="39"/>
      <c r="F45" s="39">
        <v>1</v>
      </c>
      <c r="G45" s="39">
        <v>1</v>
      </c>
      <c r="H45" s="39">
        <v>1</v>
      </c>
      <c r="I45" s="39">
        <v>1</v>
      </c>
      <c r="J45" s="39">
        <v>1</v>
      </c>
      <c r="K45" s="39">
        <v>1</v>
      </c>
      <c r="L45" s="39">
        <v>1</v>
      </c>
      <c r="M45" s="39"/>
      <c r="N45" s="39">
        <v>1</v>
      </c>
      <c r="O45" s="39"/>
      <c r="P45" s="39">
        <v>1</v>
      </c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/>
      <c r="Z45" s="39"/>
      <c r="AA45" s="39"/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/>
      <c r="AH45" s="39">
        <v>1</v>
      </c>
      <c r="AI45" s="39">
        <v>1</v>
      </c>
      <c r="AJ45" s="39">
        <v>1</v>
      </c>
      <c r="AK45" s="19">
        <f>SUM(B45:AJ45)</f>
        <v>26</v>
      </c>
      <c r="AL45" s="20">
        <f>+AB45+Q45+V45+AC45+AE45+AG45+S45</f>
        <v>6</v>
      </c>
      <c r="AM45" s="20">
        <f>+C45+E45+I45+N45+P45+R45+X45+D45+AI45+W45+AF45</f>
        <v>9</v>
      </c>
      <c r="AN45" s="20">
        <f>+B45+F45+O45+Y45+AD45+AJ45+AH45+K45+L45+U45+T45+Z45+AA45+M45+J45+H45+G45</f>
        <v>11</v>
      </c>
      <c r="AO45" s="20">
        <f>+P45+U45+X45+AJ45+N45+I45+F45</f>
        <v>7</v>
      </c>
      <c r="AP45" s="20">
        <f>+B45+C45+J45+K45+L45+O45+Q45+R45+V45+Y45+AB45+AC45+AD45+AE45+AG45+AH45+S45+D45+AI45+W45+M45+E45+G45+AF45</f>
        <v>17</v>
      </c>
      <c r="AQ45" s="20">
        <f>+AA45+Z45+T45+H45</f>
        <v>2</v>
      </c>
    </row>
    <row r="46" spans="1:45" x14ac:dyDescent="0.2">
      <c r="AF46" t="s">
        <v>15</v>
      </c>
    </row>
    <row r="47" spans="1:45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G47" s="1"/>
      <c r="AK47" s="5"/>
    </row>
    <row r="48" spans="1:45" x14ac:dyDescent="0.2">
      <c r="A48" t="s">
        <v>1</v>
      </c>
      <c r="B48" s="38"/>
      <c r="C48" s="38">
        <v>1643</v>
      </c>
      <c r="D48" s="38"/>
      <c r="E48" s="38"/>
      <c r="F48" s="38">
        <v>3379</v>
      </c>
      <c r="G48" s="38">
        <v>527</v>
      </c>
      <c r="H48" s="38">
        <v>434</v>
      </c>
      <c r="I48" s="38">
        <f>+I49/0.464</f>
        <v>2215.5172413793102</v>
      </c>
      <c r="J48" s="38">
        <v>1767</v>
      </c>
      <c r="K48" s="38"/>
      <c r="L48" s="38">
        <v>775</v>
      </c>
      <c r="M48" s="38"/>
      <c r="N48" s="38"/>
      <c r="O48" s="38"/>
      <c r="P48" s="38">
        <v>3038</v>
      </c>
      <c r="Q48" s="38"/>
      <c r="R48" s="38">
        <v>3441</v>
      </c>
      <c r="S48" s="38">
        <v>6510</v>
      </c>
      <c r="T48" s="38">
        <v>1426</v>
      </c>
      <c r="U48" s="38">
        <v>775</v>
      </c>
      <c r="V48" s="38">
        <v>14384</v>
      </c>
      <c r="W48" s="38">
        <v>1798</v>
      </c>
      <c r="X48" s="38"/>
      <c r="Y48" s="38"/>
      <c r="Z48" s="38"/>
      <c r="AA48" s="38"/>
      <c r="AB48" s="38">
        <v>5580</v>
      </c>
      <c r="AC48" s="38">
        <v>12183</v>
      </c>
      <c r="AD48" s="38">
        <v>403</v>
      </c>
      <c r="AE48" s="38">
        <v>6417</v>
      </c>
      <c r="AF48" s="38">
        <v>1860</v>
      </c>
      <c r="AG48" s="38"/>
      <c r="AH48" s="38">
        <v>1581</v>
      </c>
      <c r="AI48" s="38">
        <v>5394</v>
      </c>
      <c r="AJ48" s="38">
        <v>1054</v>
      </c>
      <c r="AK48" s="5">
        <f>SUM(C48:AJ48)</f>
        <v>76584.517241379304</v>
      </c>
      <c r="AL48">
        <f>+AB48+Q48+V48+AC48+AE48+AG48+S48</f>
        <v>45074</v>
      </c>
      <c r="AM48" s="20">
        <f>+C48+E48+I48+N48+P48+R48+X48+D48+AI48+W48+AF48</f>
        <v>19389.517241379312</v>
      </c>
      <c r="AN48">
        <f>+B48+F48+O48+Y48+AD48+AJ48+AH48+K48+L48+U48+T48+Z48+AA48+M48+J48+H48+G48</f>
        <v>12121</v>
      </c>
      <c r="AO48">
        <f>+P48+U48+X48+AJ48+N48+I48+F48</f>
        <v>10461.51724137931</v>
      </c>
      <c r="AP48" s="20">
        <f>+B48+C48+J48+K48+L48+O48+Q48+R48+V48+Y48+AB48+AC48+AD48+AE48+AG48+AH48+S48+D48+AI48+W48+M48+E48+G48+AF48</f>
        <v>64263</v>
      </c>
      <c r="AQ48">
        <f>+AA48+Z48+T48+H48</f>
        <v>1860</v>
      </c>
      <c r="AR48">
        <f>+AL48+AM48+AN48</f>
        <v>76584.517241379304</v>
      </c>
      <c r="AS48">
        <f>+AO48+AP48+AQ48</f>
        <v>76584.517241379304</v>
      </c>
    </row>
    <row r="49" spans="1:46" x14ac:dyDescent="0.2">
      <c r="A49" t="s">
        <v>2</v>
      </c>
      <c r="B49" s="38"/>
      <c r="C49" s="38">
        <v>509</v>
      </c>
      <c r="D49" s="38"/>
      <c r="E49" s="38"/>
      <c r="F49" s="38">
        <f>+F48*0.46</f>
        <v>1554.3400000000001</v>
      </c>
      <c r="G49" s="38">
        <f>+G48*0.737</f>
        <v>388.399</v>
      </c>
      <c r="H49" s="38">
        <f>+H48*0.233</f>
        <v>101.122</v>
      </c>
      <c r="I49" s="38">
        <v>1028</v>
      </c>
      <c r="J49" s="38">
        <f>+J48*0.84</f>
        <v>1484.28</v>
      </c>
      <c r="K49" s="38"/>
      <c r="L49" s="38">
        <v>504</v>
      </c>
      <c r="M49" s="38"/>
      <c r="N49" s="38"/>
      <c r="O49" s="38"/>
      <c r="P49" s="38">
        <v>1375</v>
      </c>
      <c r="Q49" s="38"/>
      <c r="R49" s="38">
        <f>+R48*0.259</f>
        <v>891.21900000000005</v>
      </c>
      <c r="S49" s="38">
        <f>+S48*0.439</f>
        <v>2857.89</v>
      </c>
      <c r="T49" s="38">
        <f>+T48*0.468</f>
        <v>667.36800000000005</v>
      </c>
      <c r="U49" s="38">
        <f>+U48*0.83</f>
        <v>643.25</v>
      </c>
      <c r="V49" s="38">
        <v>7585</v>
      </c>
      <c r="W49" s="38">
        <f>+W48*0.56</f>
        <v>1006.8800000000001</v>
      </c>
      <c r="X49" s="38"/>
      <c r="Y49" s="38"/>
      <c r="Z49" s="38"/>
      <c r="AA49" s="38"/>
      <c r="AB49" s="38">
        <f>+AB48*0.5728</f>
        <v>3196.2239999999997</v>
      </c>
      <c r="AC49" s="38">
        <v>8851</v>
      </c>
      <c r="AD49" s="38">
        <v>183</v>
      </c>
      <c r="AE49" s="38">
        <v>4340</v>
      </c>
      <c r="AF49" s="38">
        <f>+AF48*0.4289</f>
        <v>797.75400000000002</v>
      </c>
      <c r="AG49" s="38"/>
      <c r="AH49" s="38">
        <v>1256</v>
      </c>
      <c r="AI49" s="38">
        <v>4374</v>
      </c>
      <c r="AJ49" s="38">
        <f>+AJ48*0.3871</f>
        <v>408.0034</v>
      </c>
      <c r="AK49" s="5">
        <f>SUM(C49:AJ49)</f>
        <v>44001.729400000004</v>
      </c>
      <c r="AL49">
        <f>+AB49+Q49+V49+AC49+AE49+AG49+S49</f>
        <v>26830.114000000001</v>
      </c>
      <c r="AM49" s="20">
        <f>+C49+E49+I49+N49+P49+R49+X49+D49+AI49+W49+AF49</f>
        <v>9981.853000000001</v>
      </c>
      <c r="AN49">
        <f>+B49+F49+O49+Y49+AD49+AJ49+AH49+K49+L49+U49+T49+Z49+AA49+M49+J49+H49+G49</f>
        <v>7189.7624000000005</v>
      </c>
      <c r="AO49">
        <f>+P49+U49+X49+AJ49+N49+I49+F49</f>
        <v>5008.5933999999997</v>
      </c>
      <c r="AP49" s="20">
        <f>+B49+C49+J49+K49+L49+O49+Q49+R49+V49+Y49+AB49+AC49+AD49+AE49+AG49+AH49+S49+D49+AI49+W49+M49+E49+G49+AF49</f>
        <v>38224.645999999993</v>
      </c>
      <c r="AQ49">
        <f>+AA49+Z49+T49+H49</f>
        <v>768.49</v>
      </c>
      <c r="AR49">
        <f>+AL49+AM49+AN49</f>
        <v>44001.729400000004</v>
      </c>
      <c r="AS49">
        <f>+AO49+AP49+AQ49</f>
        <v>44001.729399999989</v>
      </c>
    </row>
    <row r="50" spans="1:46" x14ac:dyDescent="0.2">
      <c r="A50" t="s">
        <v>4</v>
      </c>
      <c r="C50" s="3">
        <f>+C49/C48</f>
        <v>0.30979914790018259</v>
      </c>
      <c r="D50" s="3"/>
      <c r="E50" s="3">
        <v>0</v>
      </c>
      <c r="F50" s="3">
        <f t="shared" ref="F50:L50" si="19">+F49/F48</f>
        <v>0.46</v>
      </c>
      <c r="G50" s="3">
        <f t="shared" si="19"/>
        <v>0.73699999999999999</v>
      </c>
      <c r="H50" s="3">
        <f t="shared" si="19"/>
        <v>0.23300000000000001</v>
      </c>
      <c r="I50" s="3">
        <f t="shared" si="19"/>
        <v>0.46400000000000002</v>
      </c>
      <c r="J50" s="3">
        <f t="shared" si="19"/>
        <v>0.84</v>
      </c>
      <c r="K50" s="3" t="e">
        <f t="shared" si="19"/>
        <v>#DIV/0!</v>
      </c>
      <c r="L50" s="3">
        <f t="shared" si="19"/>
        <v>0.65032258064516124</v>
      </c>
      <c r="M50" s="3">
        <v>0</v>
      </c>
      <c r="N50" s="3">
        <v>0</v>
      </c>
      <c r="O50" s="3">
        <v>0</v>
      </c>
      <c r="P50" s="3">
        <f t="shared" ref="P50:W50" si="20">+P49/P48</f>
        <v>0.45260039499670834</v>
      </c>
      <c r="Q50" s="3" t="e">
        <f t="shared" si="20"/>
        <v>#DIV/0!</v>
      </c>
      <c r="R50" s="3">
        <f t="shared" si="20"/>
        <v>0.25900000000000001</v>
      </c>
      <c r="S50" s="3">
        <f t="shared" si="20"/>
        <v>0.439</v>
      </c>
      <c r="T50" s="3">
        <f t="shared" si="20"/>
        <v>0.46800000000000003</v>
      </c>
      <c r="U50" s="3">
        <f t="shared" si="20"/>
        <v>0.83</v>
      </c>
      <c r="V50" s="3">
        <f t="shared" si="20"/>
        <v>0.52732202447163512</v>
      </c>
      <c r="W50" s="3">
        <f t="shared" si="20"/>
        <v>0.56000000000000005</v>
      </c>
      <c r="X50" s="3">
        <v>0</v>
      </c>
      <c r="Y50" s="3">
        <v>0</v>
      </c>
      <c r="Z50" s="3"/>
      <c r="AA50" s="3">
        <v>0</v>
      </c>
      <c r="AB50" s="3">
        <f>+AB49/AB48</f>
        <v>0.57279999999999998</v>
      </c>
      <c r="AC50" s="3">
        <f>+AC49/AC48</f>
        <v>0.72650414512024952</v>
      </c>
      <c r="AD50" s="3">
        <f>+AD49/AD48</f>
        <v>0.45409429280397023</v>
      </c>
      <c r="AE50" s="3">
        <f>+AE49/AE48</f>
        <v>0.67632850241545894</v>
      </c>
      <c r="AF50" s="3">
        <f>+AF49/AF48</f>
        <v>0.4289</v>
      </c>
      <c r="AG50" s="3">
        <v>0</v>
      </c>
      <c r="AH50" s="3">
        <f t="shared" ref="AH50:AQ50" si="21">+AH49/AH48</f>
        <v>0.79443390259329538</v>
      </c>
      <c r="AI50" s="3">
        <f t="shared" si="21"/>
        <v>0.81090100111234709</v>
      </c>
      <c r="AJ50" s="3">
        <f t="shared" si="21"/>
        <v>0.3871</v>
      </c>
      <c r="AK50" s="6">
        <f t="shared" si="21"/>
        <v>0.57455124070724672</v>
      </c>
      <c r="AL50" s="3">
        <f t="shared" si="21"/>
        <v>0.5952459067311533</v>
      </c>
      <c r="AM50" s="3">
        <f t="shared" si="21"/>
        <v>0.51480668011154274</v>
      </c>
      <c r="AN50" s="3">
        <f t="shared" si="21"/>
        <v>0.59316577840112206</v>
      </c>
      <c r="AO50" s="3">
        <f t="shared" si="21"/>
        <v>0.478763575534636</v>
      </c>
      <c r="AP50" s="3">
        <f t="shared" si="21"/>
        <v>0.59481577268412611</v>
      </c>
      <c r="AQ50" s="3">
        <f t="shared" si="21"/>
        <v>0.41316666666666668</v>
      </c>
    </row>
    <row r="51" spans="1:46" x14ac:dyDescent="0.2">
      <c r="A51" s="20"/>
      <c r="B51" s="20"/>
      <c r="C51" s="39">
        <v>1</v>
      </c>
      <c r="D51" s="39"/>
      <c r="E51" s="39"/>
      <c r="F51" s="39">
        <v>1</v>
      </c>
      <c r="G51" s="39">
        <v>1</v>
      </c>
      <c r="H51" s="39">
        <v>1</v>
      </c>
      <c r="I51" s="39">
        <v>1</v>
      </c>
      <c r="J51" s="39">
        <v>1</v>
      </c>
      <c r="K51" s="39"/>
      <c r="L51" s="39">
        <v>1</v>
      </c>
      <c r="M51" s="39"/>
      <c r="N51" s="39"/>
      <c r="O51" s="39"/>
      <c r="P51" s="39">
        <v>1</v>
      </c>
      <c r="Q51" s="39"/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/>
      <c r="Y51" s="39"/>
      <c r="Z51" s="39"/>
      <c r="AA51" s="39"/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/>
      <c r="AH51" s="39">
        <v>1</v>
      </c>
      <c r="AI51" s="39">
        <v>1</v>
      </c>
      <c r="AJ51" s="39">
        <v>1</v>
      </c>
      <c r="AK51" s="19">
        <f>SUM(C51:AJ51)</f>
        <v>22</v>
      </c>
      <c r="AL51" s="20">
        <f>+AB51+Q51+V51+AC51+AE51+AG51+S51</f>
        <v>5</v>
      </c>
      <c r="AM51" s="20">
        <f>+C51+E51+I51+N51+P51+R51+X51+D51+AI51+W51+AF51</f>
        <v>7</v>
      </c>
      <c r="AN51" s="20">
        <f>+B51+F51+O51+Y51+AD51+AJ51+AH51+K51+L51+U51+T51+Z51+AA51+M51+J51+H51+G51</f>
        <v>10</v>
      </c>
      <c r="AO51" s="20">
        <f>+P51+U51+X51+AJ51+N51+I51+F51</f>
        <v>5</v>
      </c>
      <c r="AP51" s="20">
        <f>+B51+C51+J51+K51+L51+O51+Q51+R51+V51+Y51+AB51+AC51+AD51+AE51+AG51+AH51+S51+D51+AI51+W51+M51+E51+G51+AF51</f>
        <v>15</v>
      </c>
      <c r="AQ51" s="20">
        <f>+AA51+Z51+T51+H51</f>
        <v>2</v>
      </c>
    </row>
    <row r="52" spans="1:46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19"/>
      <c r="AL52" s="20"/>
      <c r="AM52" s="20"/>
      <c r="AN52" s="20"/>
      <c r="AO52" s="20"/>
      <c r="AP52" s="20"/>
      <c r="AQ52" s="20"/>
    </row>
    <row r="53" spans="1:46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G53" s="1"/>
      <c r="AK53" s="5"/>
    </row>
    <row r="54" spans="1:46" x14ac:dyDescent="0.2">
      <c r="A54" t="s">
        <v>1</v>
      </c>
      <c r="B54" s="38">
        <v>0</v>
      </c>
      <c r="C54" s="38">
        <v>1590</v>
      </c>
      <c r="D54" s="38"/>
      <c r="E54" s="38"/>
      <c r="F54" s="38">
        <v>3270</v>
      </c>
      <c r="G54" s="38">
        <v>510</v>
      </c>
      <c r="H54" s="38">
        <v>420</v>
      </c>
      <c r="I54" s="38"/>
      <c r="J54" s="38">
        <v>1710</v>
      </c>
      <c r="K54" s="38"/>
      <c r="L54" s="38">
        <v>750</v>
      </c>
      <c r="M54" s="38"/>
      <c r="N54" s="38"/>
      <c r="O54" s="38"/>
      <c r="P54" s="38">
        <v>2940</v>
      </c>
      <c r="Q54" s="38">
        <v>6728</v>
      </c>
      <c r="R54" s="38">
        <v>3330</v>
      </c>
      <c r="S54" s="38">
        <v>6300</v>
      </c>
      <c r="T54" s="38">
        <v>1380</v>
      </c>
      <c r="U54" s="38"/>
      <c r="V54" s="38">
        <v>13920</v>
      </c>
      <c r="W54" s="38">
        <v>1740</v>
      </c>
      <c r="X54" s="38"/>
      <c r="Y54" s="38"/>
      <c r="Z54" s="38"/>
      <c r="AA54" s="38"/>
      <c r="AB54" s="38">
        <v>5400</v>
      </c>
      <c r="AC54" s="38">
        <v>11790</v>
      </c>
      <c r="AD54" s="38">
        <v>390</v>
      </c>
      <c r="AE54" s="38">
        <v>6210</v>
      </c>
      <c r="AF54" s="38">
        <f>1860/31*17</f>
        <v>1020</v>
      </c>
      <c r="AG54" s="38"/>
      <c r="AH54" s="38">
        <v>1530</v>
      </c>
      <c r="AI54" s="38">
        <v>522</v>
      </c>
      <c r="AJ54" s="38"/>
      <c r="AK54" s="5">
        <f>SUM(C54:AJ54)</f>
        <v>71450</v>
      </c>
      <c r="AL54">
        <f>+AB54+Q54+V54+AC54+AE54+AG54+S54</f>
        <v>50348</v>
      </c>
      <c r="AM54" s="20">
        <f>+C54+E54+I54+N54+P54+R54+X54+D54+AI54+W54+AF54</f>
        <v>11142</v>
      </c>
      <c r="AN54">
        <f>+B54+F54+O54+Y54+AD54+AJ54+AH54+K54+L54+U54+T54+Z54+AA54+M54+J54+H54+G54</f>
        <v>9960</v>
      </c>
      <c r="AO54">
        <f>+P54+U54+X54+AJ54+N54+I54+F54</f>
        <v>6210</v>
      </c>
      <c r="AP54" s="20">
        <f>+B54+C54+J54+K54+L54+O54+Q54+R54+V54+Y54+AB54+AC54+AD54+AE54+AG54+AH54+S54+D54+AI54+W54+M54+E54+G54+AF54</f>
        <v>63440</v>
      </c>
      <c r="AQ54">
        <f>+AA54+Z54+T54+H54</f>
        <v>1800</v>
      </c>
      <c r="AR54">
        <f>+AL54+AM54+AN54</f>
        <v>71450</v>
      </c>
      <c r="AS54">
        <f>+AO54+AP54+AQ54</f>
        <v>71450</v>
      </c>
      <c r="AT54">
        <f>+AK54+AK48+AK42+AK36+AK30+AK24+AK18+AK12+AK6</f>
        <v>756916.1120271117</v>
      </c>
    </row>
    <row r="55" spans="1:46" x14ac:dyDescent="0.2">
      <c r="A55" t="s">
        <v>2</v>
      </c>
      <c r="B55" s="38">
        <v>0</v>
      </c>
      <c r="C55" s="38">
        <v>334</v>
      </c>
      <c r="D55" s="38"/>
      <c r="E55" s="38"/>
      <c r="F55" s="38">
        <f>+F54*0.39</f>
        <v>1275.3</v>
      </c>
      <c r="G55" s="38">
        <f>+G54*0.655</f>
        <v>334.05</v>
      </c>
      <c r="H55" s="38">
        <v>33</v>
      </c>
      <c r="I55" s="38"/>
      <c r="J55" s="38">
        <f>+J54*0.77</f>
        <v>1316.7</v>
      </c>
      <c r="K55" s="38"/>
      <c r="L55" s="38">
        <v>506</v>
      </c>
      <c r="M55" s="38"/>
      <c r="N55" s="38"/>
      <c r="O55" s="38"/>
      <c r="P55" s="38">
        <v>1316</v>
      </c>
      <c r="Q55" s="38">
        <f>+Q54*0.103</f>
        <v>692.98399999999992</v>
      </c>
      <c r="R55" s="38">
        <f>+R54*0.15</f>
        <v>499.5</v>
      </c>
      <c r="S55" s="38">
        <f>+S54*0.21</f>
        <v>1323</v>
      </c>
      <c r="T55" s="38">
        <f>+T54*0.453</f>
        <v>625.14</v>
      </c>
      <c r="U55" s="38"/>
      <c r="V55" s="38">
        <v>2983</v>
      </c>
      <c r="W55" s="38">
        <f>+W54*0.18</f>
        <v>313.2</v>
      </c>
      <c r="X55" s="38"/>
      <c r="Y55" s="38"/>
      <c r="Z55" s="38"/>
      <c r="AA55" s="38"/>
      <c r="AB55" s="38">
        <f>+AB54*0.5636</f>
        <v>3043.44</v>
      </c>
      <c r="AC55" s="38">
        <v>6711</v>
      </c>
      <c r="AD55" s="38">
        <v>91</v>
      </c>
      <c r="AE55" s="38">
        <v>4237</v>
      </c>
      <c r="AF55" s="38">
        <f>+AF54*0.303</f>
        <v>309.06</v>
      </c>
      <c r="AG55" s="38"/>
      <c r="AH55" s="38">
        <v>1123</v>
      </c>
      <c r="AI55" s="38">
        <v>159</v>
      </c>
      <c r="AJ55" s="38"/>
      <c r="AK55" s="5">
        <f>SUM(C55:AJ55)</f>
        <v>27225.374</v>
      </c>
      <c r="AL55">
        <f>+AB55+Q55+V55+AC55+AE55+AG55+S55</f>
        <v>18990.423999999999</v>
      </c>
      <c r="AM55" s="20">
        <f>+C55+E55+I55+N55+P55+R55+X55+D55+AI55+W55+AF55</f>
        <v>2930.7599999999998</v>
      </c>
      <c r="AN55">
        <f>+B55+F55+O55+Y55+AD55+AJ55+AH55+K55+L55+U55+T55+Z55+AA55+M55+J55+H55+G55</f>
        <v>5304.1900000000005</v>
      </c>
      <c r="AO55">
        <f>+P55+U55+X55+AJ55+N55+I55+F55</f>
        <v>2591.3000000000002</v>
      </c>
      <c r="AP55" s="20">
        <f>+B55+C55+J55+K55+L55+O55+Q55+R55+V55+Y55+AB55+AC55+AD55+AE55+AG55+AH55+S55+D55+AI55+W55+M55+E55+G55+AF55</f>
        <v>23975.934000000001</v>
      </c>
      <c r="AQ55">
        <f>+AA55+Z55+T55+H55</f>
        <v>658.14</v>
      </c>
      <c r="AR55">
        <f>+AL55+AM55+AN55</f>
        <v>27225.373999999996</v>
      </c>
      <c r="AS55">
        <f>+AO55+AP55+AQ55</f>
        <v>27225.374</v>
      </c>
      <c r="AT55">
        <f>+AK55+AK49+AK43+AK37+AK31+AK25+AK19+AK13+AK7</f>
        <v>417714.31357142859</v>
      </c>
    </row>
    <row r="56" spans="1:46" x14ac:dyDescent="0.2">
      <c r="A56" t="s">
        <v>4</v>
      </c>
      <c r="B56" s="3">
        <v>0</v>
      </c>
      <c r="C56" s="3">
        <f>+C55/C54</f>
        <v>0.21006289308176102</v>
      </c>
      <c r="D56" s="3"/>
      <c r="E56" s="3">
        <v>0</v>
      </c>
      <c r="F56" s="3">
        <f>+F55/F54</f>
        <v>0.39</v>
      </c>
      <c r="G56" s="3">
        <f>+G55/G54</f>
        <v>0.65500000000000003</v>
      </c>
      <c r="H56" s="3">
        <f>+H55/H54</f>
        <v>7.857142857142857E-2</v>
      </c>
      <c r="I56" s="3">
        <v>0</v>
      </c>
      <c r="J56" s="3">
        <f>+J55/J54</f>
        <v>0.77</v>
      </c>
      <c r="K56" s="3">
        <v>0</v>
      </c>
      <c r="L56" s="3">
        <f>+L55/L54</f>
        <v>0.67466666666666664</v>
      </c>
      <c r="M56" s="3">
        <v>0</v>
      </c>
      <c r="N56" s="3">
        <v>0</v>
      </c>
      <c r="O56" s="3">
        <v>0</v>
      </c>
      <c r="P56" s="3">
        <f>+P55/P54</f>
        <v>0.44761904761904764</v>
      </c>
      <c r="Q56" s="3">
        <f>+Q55/Q54</f>
        <v>0.10299999999999999</v>
      </c>
      <c r="R56" s="3">
        <f>+R55/R54</f>
        <v>0.15</v>
      </c>
      <c r="S56" s="3">
        <f>+S55/S54</f>
        <v>0.21</v>
      </c>
      <c r="T56" s="3">
        <f>+T55/T54</f>
        <v>0.45300000000000001</v>
      </c>
      <c r="U56" s="3">
        <v>0</v>
      </c>
      <c r="V56" s="3">
        <f>+V55/V54</f>
        <v>0.21429597701149425</v>
      </c>
      <c r="W56" s="3">
        <f>+W55/W54</f>
        <v>0.18</v>
      </c>
      <c r="X56" s="3">
        <v>0</v>
      </c>
      <c r="Y56" s="3">
        <v>0</v>
      </c>
      <c r="Z56" s="3"/>
      <c r="AA56" s="3">
        <v>0</v>
      </c>
      <c r="AB56" s="3">
        <f>+AB55/AB54</f>
        <v>0.56359999999999999</v>
      </c>
      <c r="AC56" s="3">
        <f>+AC55/AC54</f>
        <v>0.56921119592875313</v>
      </c>
      <c r="AD56" s="3">
        <f>+AD55/AD54</f>
        <v>0.23333333333333334</v>
      </c>
      <c r="AE56" s="3">
        <f>+AE55/AE54</f>
        <v>0.68228663446054749</v>
      </c>
      <c r="AF56" s="3">
        <f>+AF55/AF54</f>
        <v>0.30299999999999999</v>
      </c>
      <c r="AG56" s="3">
        <v>0</v>
      </c>
      <c r="AH56" s="3">
        <f>+AH55/AH54</f>
        <v>0.73398692810457511</v>
      </c>
      <c r="AI56" s="3">
        <f>+AI55/AI54</f>
        <v>0.3045977011494253</v>
      </c>
      <c r="AJ56" s="3">
        <v>0</v>
      </c>
      <c r="AK56" s="6">
        <f t="shared" ref="AK56:AQ56" si="22">+AK55/AK54</f>
        <v>0.38104092372288312</v>
      </c>
      <c r="AL56" s="3">
        <f t="shared" si="22"/>
        <v>0.37718328434098669</v>
      </c>
      <c r="AM56" s="3">
        <f t="shared" si="22"/>
        <v>0.26303715670436184</v>
      </c>
      <c r="AN56" s="3">
        <f t="shared" si="22"/>
        <v>0.53254919678714863</v>
      </c>
      <c r="AO56" s="3">
        <f t="shared" si="22"/>
        <v>0.41727858293075687</v>
      </c>
      <c r="AP56" s="3">
        <f t="shared" si="22"/>
        <v>0.37793086380832286</v>
      </c>
      <c r="AQ56" s="3">
        <f t="shared" si="22"/>
        <v>0.36563333333333331</v>
      </c>
      <c r="AT56">
        <f>+AT55/AT54</f>
        <v>0.55186341912149262</v>
      </c>
    </row>
    <row r="57" spans="1:46" x14ac:dyDescent="0.2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>
        <v>1</v>
      </c>
      <c r="I57" s="20"/>
      <c r="J57" s="20">
        <v>1</v>
      </c>
      <c r="K57" s="20"/>
      <c r="L57" s="20">
        <v>1</v>
      </c>
      <c r="M57" s="20"/>
      <c r="N57" s="20"/>
      <c r="O57" s="20"/>
      <c r="P57" s="20">
        <v>1</v>
      </c>
      <c r="Q57" s="20">
        <v>1</v>
      </c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/>
      <c r="AH57" s="20">
        <v>1</v>
      </c>
      <c r="AI57" s="20">
        <v>1</v>
      </c>
      <c r="AJ57" s="20"/>
      <c r="AK57" s="19">
        <f>SUM(C57:AJ57)</f>
        <v>20</v>
      </c>
      <c r="AL57" s="20">
        <f>+AB57+Q57+V57+AC57+AE57+AG57+S57</f>
        <v>6</v>
      </c>
      <c r="AM57" s="20">
        <f>+C57+E57+I57+N57+P57+R57+X57+D57+AI57+W57+AF57</f>
        <v>6</v>
      </c>
      <c r="AN57" s="20">
        <f>+B57+F57+O57+Y57+AD57+AJ57+AH57+K57+L57+U57+T57+Z57+AA57+M57+J57+H57+G57</f>
        <v>8</v>
      </c>
      <c r="AO57" s="20">
        <f>+P57+U57+X57+AJ57+N57+I57+F57</f>
        <v>2</v>
      </c>
      <c r="AP57" s="20">
        <f>+B57+C57+J57+K57+L57+O57+Q57+R57+V57+Y57+AB57+AC57+AD57+AE57+AG57+AH57+S57+D57+AI57+W57+M57+E57+G57+AF57</f>
        <v>16</v>
      </c>
      <c r="AQ57" s="20">
        <f>+AA57+Z57+T57+H57</f>
        <v>2</v>
      </c>
    </row>
    <row r="58" spans="1:46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19"/>
      <c r="AL58" s="20"/>
      <c r="AM58" s="20"/>
      <c r="AN58" s="20"/>
      <c r="AO58" s="20"/>
      <c r="AP58" s="20"/>
      <c r="AQ58" s="20"/>
    </row>
    <row r="59" spans="1:46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G59" s="1"/>
      <c r="AK59" s="5"/>
    </row>
    <row r="60" spans="1:46" x14ac:dyDescent="0.2">
      <c r="A60" t="s">
        <v>1</v>
      </c>
      <c r="B60" s="38"/>
      <c r="C60" s="38">
        <v>1643</v>
      </c>
      <c r="D60" s="38"/>
      <c r="E60" s="38"/>
      <c r="F60" s="38">
        <v>3379</v>
      </c>
      <c r="G60" s="38">
        <v>527</v>
      </c>
      <c r="H60" s="38">
        <v>434</v>
      </c>
      <c r="I60" s="38">
        <f>2542/31*16</f>
        <v>1312</v>
      </c>
      <c r="J60" s="38">
        <v>1767</v>
      </c>
      <c r="K60" s="38"/>
      <c r="L60" s="38">
        <v>775</v>
      </c>
      <c r="M60" s="38"/>
      <c r="N60" s="38">
        <v>648</v>
      </c>
      <c r="O60" s="38"/>
      <c r="P60" s="38">
        <v>3038</v>
      </c>
      <c r="Q60" s="38"/>
      <c r="R60" s="38">
        <v>3441</v>
      </c>
      <c r="S60" s="38">
        <v>6510</v>
      </c>
      <c r="T60" s="38">
        <v>1426</v>
      </c>
      <c r="U60" s="38">
        <f>750/30*22</f>
        <v>550</v>
      </c>
      <c r="V60" s="38">
        <v>14384</v>
      </c>
      <c r="W60" s="38">
        <v>1798</v>
      </c>
      <c r="X60" s="38">
        <v>921</v>
      </c>
      <c r="Y60" s="38"/>
      <c r="Z60" s="38"/>
      <c r="AA60" s="38"/>
      <c r="AB60" s="38">
        <v>5580</v>
      </c>
      <c r="AC60" s="38">
        <v>12183</v>
      </c>
      <c r="AD60" s="38">
        <v>403</v>
      </c>
      <c r="AE60" s="38">
        <v>6417</v>
      </c>
      <c r="AF60" s="38">
        <f>+AF48/31*26</f>
        <v>1560</v>
      </c>
      <c r="AG60" s="38"/>
      <c r="AH60" s="38">
        <v>1581</v>
      </c>
      <c r="AI60" s="38">
        <v>1566</v>
      </c>
      <c r="AJ60" s="38"/>
      <c r="AK60" s="5">
        <f>SUM(C60:AJ60)</f>
        <v>71843</v>
      </c>
      <c r="AL60">
        <f>+AB60+Q60+V60+AC60+AE60+AG60+S60</f>
        <v>45074</v>
      </c>
      <c r="AM60" s="20">
        <f>+C60+E60+I60+N60+P60+R60+X60+D60+AI60+W60+AF60</f>
        <v>15927</v>
      </c>
      <c r="AN60">
        <f>+B60+F60+O60+Y60+AD60+AJ60+AH60+K60+L60+U60+T60+Z60+AA60+M60+J60+H60+G60</f>
        <v>10842</v>
      </c>
      <c r="AO60">
        <f>+P60+U60+X60+AJ60+N60+I60+F60</f>
        <v>9848</v>
      </c>
      <c r="AP60" s="20">
        <f>+B60+C60+J60+K60+L60+O60+Q60+R60+V60+Y60+AB60+AC60+AD60+AE60+AG60+AH60+S60+D60+AI60+W60+M60+E60+G60+AF60</f>
        <v>60135</v>
      </c>
      <c r="AQ60">
        <f>+AA60+Z60+T60+H60</f>
        <v>1860</v>
      </c>
      <c r="AR60">
        <f>+AL60+AM60+AN60</f>
        <v>71843</v>
      </c>
    </row>
    <row r="61" spans="1:46" x14ac:dyDescent="0.2">
      <c r="A61" t="s">
        <v>2</v>
      </c>
      <c r="B61" s="38"/>
      <c r="C61" s="38">
        <f>+C60*0.25</f>
        <v>410.75</v>
      </c>
      <c r="D61" s="38"/>
      <c r="E61" s="38"/>
      <c r="F61" s="38">
        <f>+F60*0.4</f>
        <v>1351.6000000000001</v>
      </c>
      <c r="G61" s="38">
        <f>+G60*0.564</f>
        <v>297.22799999999995</v>
      </c>
      <c r="H61" s="38">
        <v>51</v>
      </c>
      <c r="I61" s="38">
        <v>706</v>
      </c>
      <c r="J61" s="38">
        <f>+J60*0.81</f>
        <v>1431.27</v>
      </c>
      <c r="K61" s="38"/>
      <c r="L61" s="38">
        <v>557</v>
      </c>
      <c r="M61" s="38"/>
      <c r="N61" s="38">
        <v>235</v>
      </c>
      <c r="O61" s="38"/>
      <c r="P61" s="38">
        <v>1849</v>
      </c>
      <c r="Q61" s="38"/>
      <c r="R61" s="38">
        <f>+R60*0.215</f>
        <v>739.81499999999994</v>
      </c>
      <c r="S61" s="38">
        <f>+S60*0.262</f>
        <v>1705.6200000000001</v>
      </c>
      <c r="T61" s="38">
        <f>+T60*0.466</f>
        <v>664.51600000000008</v>
      </c>
      <c r="U61" s="38">
        <f>+U60*0.58</f>
        <v>319</v>
      </c>
      <c r="V61" s="38">
        <v>4803</v>
      </c>
      <c r="W61" s="38">
        <f>+W60*0.31</f>
        <v>557.38</v>
      </c>
      <c r="X61" s="38">
        <v>396</v>
      </c>
      <c r="Y61" s="38"/>
      <c r="Z61" s="38"/>
      <c r="AA61" s="38"/>
      <c r="AB61" s="38">
        <f>+AB60*0.6738</f>
        <v>3759.8039999999996</v>
      </c>
      <c r="AC61" s="38">
        <f>+AC60*0.72</f>
        <v>8771.76</v>
      </c>
      <c r="AD61" s="38">
        <v>109</v>
      </c>
      <c r="AE61" s="38">
        <v>4562</v>
      </c>
      <c r="AF61" s="38">
        <f>+AF60*0.44</f>
        <v>686.4</v>
      </c>
      <c r="AG61" s="38"/>
      <c r="AH61" s="38">
        <v>1172</v>
      </c>
      <c r="AI61" s="38">
        <v>898</v>
      </c>
      <c r="AJ61" s="38"/>
      <c r="AK61" s="5">
        <f>SUM(C61:AJ61)</f>
        <v>36033.142999999996</v>
      </c>
      <c r="AL61">
        <f>+AB61+Q61+V61+AC61+AE61+AG61+S61</f>
        <v>23602.183999999997</v>
      </c>
      <c r="AM61" s="20">
        <f>+C61+E61+I61+N61+P61+R61+X61+D61+AI61+W61+AF61</f>
        <v>6478.3450000000003</v>
      </c>
      <c r="AN61">
        <f>+B61+F61+O61+Y61+AD61+AJ61+AH61+K61+L61+U61+T61+Z61+AA61+M61+J61+H61+G61</f>
        <v>5952.6140000000005</v>
      </c>
      <c r="AO61">
        <f>+P61+U61+X61+AJ61+N61+I61+F61</f>
        <v>4856.6000000000004</v>
      </c>
      <c r="AP61" s="20">
        <f>+B61+C61+J61+K61+L61+O61+Q61+R61+V61+Y61+AB61+AC61+AD61+AE61+AG61+AH61+S61+D61+AI61+W61+M61+E61+G61+AF61</f>
        <v>30461.026999999998</v>
      </c>
      <c r="AQ61">
        <f>+AA61+Z61+T61+H61</f>
        <v>715.51600000000008</v>
      </c>
      <c r="AR61">
        <f>+AL61+AM61+AN61</f>
        <v>36033.142999999996</v>
      </c>
    </row>
    <row r="62" spans="1:46" x14ac:dyDescent="0.2">
      <c r="A62" t="s">
        <v>4</v>
      </c>
      <c r="B62" s="3">
        <v>0</v>
      </c>
      <c r="C62" s="3">
        <f>+C61/C60</f>
        <v>0.25</v>
      </c>
      <c r="D62" s="3"/>
      <c r="E62" s="3">
        <v>0</v>
      </c>
      <c r="F62" s="3">
        <f>+F61/F60</f>
        <v>0.4</v>
      </c>
      <c r="G62" s="3">
        <f>+G61/G60</f>
        <v>0.56399999999999995</v>
      </c>
      <c r="H62" s="3">
        <f>+H61/H60</f>
        <v>0.11751152073732719</v>
      </c>
      <c r="I62" s="3">
        <f>+I61/I60</f>
        <v>0.53810975609756095</v>
      </c>
      <c r="J62" s="3">
        <f>+J61/J60</f>
        <v>0.80999999999999994</v>
      </c>
      <c r="K62" s="3">
        <v>0</v>
      </c>
      <c r="L62" s="3">
        <f>+L61/L60</f>
        <v>0.71870967741935488</v>
      </c>
      <c r="M62" s="3">
        <v>0</v>
      </c>
      <c r="N62" s="3">
        <f>+N61/N60</f>
        <v>0.36265432098765432</v>
      </c>
      <c r="O62" s="3">
        <v>0</v>
      </c>
      <c r="P62" s="3">
        <f t="shared" ref="P62:X62" si="23">+P61/P60</f>
        <v>0.60862409479920998</v>
      </c>
      <c r="Q62" s="3" t="e">
        <f t="shared" si="23"/>
        <v>#DIV/0!</v>
      </c>
      <c r="R62" s="3">
        <f t="shared" si="23"/>
        <v>0.215</v>
      </c>
      <c r="S62" s="3">
        <f t="shared" si="23"/>
        <v>0.26200000000000001</v>
      </c>
      <c r="T62" s="3">
        <f t="shared" si="23"/>
        <v>0.46600000000000008</v>
      </c>
      <c r="U62" s="3">
        <f t="shared" si="23"/>
        <v>0.57999999999999996</v>
      </c>
      <c r="V62" s="3">
        <f t="shared" si="23"/>
        <v>0.33391268075639602</v>
      </c>
      <c r="W62" s="3">
        <f t="shared" si="23"/>
        <v>0.31</v>
      </c>
      <c r="X62" s="3">
        <f t="shared" si="23"/>
        <v>0.42996742671009774</v>
      </c>
      <c r="Y62" s="3">
        <v>0</v>
      </c>
      <c r="Z62" s="3"/>
      <c r="AA62" s="3">
        <v>0</v>
      </c>
      <c r="AB62" s="3">
        <f>+AB61/AB60</f>
        <v>0.67379999999999995</v>
      </c>
      <c r="AC62" s="3">
        <f>+AC61/AC60</f>
        <v>0.72</v>
      </c>
      <c r="AD62" s="3">
        <f>+AD61/AD60</f>
        <v>0.27047146401985112</v>
      </c>
      <c r="AE62" s="3">
        <f>+AE61/AE60</f>
        <v>0.71092410783855386</v>
      </c>
      <c r="AF62" s="3">
        <f>+AF61/AF60</f>
        <v>0.44</v>
      </c>
      <c r="AG62" s="3">
        <v>0</v>
      </c>
      <c r="AH62" s="3">
        <f>+AH61/AH60</f>
        <v>0.74130297280202406</v>
      </c>
      <c r="AI62" s="3">
        <f>+AI61/AI60</f>
        <v>0.57343550446998726</v>
      </c>
      <c r="AJ62" s="3">
        <v>0</v>
      </c>
      <c r="AK62" s="6">
        <f t="shared" ref="AK62:AQ62" si="24">+AK61/AK60</f>
        <v>0.50155398577453614</v>
      </c>
      <c r="AL62" s="3">
        <f t="shared" si="24"/>
        <v>0.5236318942183964</v>
      </c>
      <c r="AM62" s="3">
        <f t="shared" si="24"/>
        <v>0.40675237018898724</v>
      </c>
      <c r="AN62" s="3">
        <f t="shared" si="24"/>
        <v>0.54903283527024538</v>
      </c>
      <c r="AO62" s="3">
        <f t="shared" si="24"/>
        <v>0.4931559707554834</v>
      </c>
      <c r="AP62" s="3">
        <f t="shared" si="24"/>
        <v>0.50654405920013301</v>
      </c>
      <c r="AQ62" s="3">
        <f t="shared" si="24"/>
        <v>0.3846860215053764</v>
      </c>
    </row>
    <row r="63" spans="1:46" x14ac:dyDescent="0.2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/>
      <c r="L63" s="20">
        <v>1</v>
      </c>
      <c r="M63" s="20"/>
      <c r="N63" s="20">
        <v>1</v>
      </c>
      <c r="O63" s="20"/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/>
      <c r="AH63" s="20">
        <v>1</v>
      </c>
      <c r="AI63" s="20">
        <v>1</v>
      </c>
      <c r="AJ63" s="20"/>
      <c r="AK63" s="19">
        <f>SUM(C63:AJ63)</f>
        <v>23</v>
      </c>
      <c r="AL63" s="20">
        <f>+AB63+Q63+V63+AC63+AE63+AG63+S63</f>
        <v>5</v>
      </c>
      <c r="AM63" s="20">
        <f>+C63+E63+I63+N63+P63+R63+X63+D63+AI63+W63+AF63</f>
        <v>9</v>
      </c>
      <c r="AN63" s="20">
        <f>+B63+F63+O63+Y63+AD63+AJ63+AH63+K63+L63+U63+T63+Z63+AA63+M63+J63+H63+G63</f>
        <v>9</v>
      </c>
      <c r="AO63" s="20">
        <f>+P63+U63+X63+AJ63+N63+I63+F63</f>
        <v>6</v>
      </c>
      <c r="AP63" s="20">
        <f>+B63+C63+J63+K63+L63+O63+Q63+R63+V63+Y63+AB63+AC63+AD63+AE63+AG63+AH63+S63+D63+AI63+W63+M63+E63+G63+AF63</f>
        <v>15</v>
      </c>
      <c r="AQ63" s="20">
        <f>+AA63+Z63+T63+H63</f>
        <v>2</v>
      </c>
    </row>
    <row r="64" spans="1:46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19"/>
      <c r="AL64" s="20"/>
      <c r="AM64" s="20"/>
      <c r="AN64" s="20"/>
      <c r="AO64" s="20"/>
      <c r="AP64" s="20"/>
      <c r="AQ64" s="20"/>
    </row>
    <row r="65" spans="1:44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G65" s="1"/>
      <c r="AK65" s="5"/>
    </row>
    <row r="66" spans="1:44" x14ac:dyDescent="0.2">
      <c r="A66" t="s">
        <v>1</v>
      </c>
      <c r="B66" s="38"/>
      <c r="C66" s="38">
        <v>1590</v>
      </c>
      <c r="D66" s="38"/>
      <c r="E66" s="38"/>
      <c r="F66" s="38">
        <v>3270</v>
      </c>
      <c r="G66" s="38">
        <v>510</v>
      </c>
      <c r="H66" s="38">
        <v>420</v>
      </c>
      <c r="I66" s="38">
        <v>2627</v>
      </c>
      <c r="J66" s="38">
        <v>1710</v>
      </c>
      <c r="K66" s="38">
        <v>1596</v>
      </c>
      <c r="L66" s="38">
        <v>750</v>
      </c>
      <c r="M66" s="38">
        <v>371</v>
      </c>
      <c r="N66" s="38">
        <v>2160</v>
      </c>
      <c r="O66" s="38">
        <v>720</v>
      </c>
      <c r="P66" s="38">
        <v>2940</v>
      </c>
      <c r="Q66" s="38"/>
      <c r="R66" s="38">
        <v>3330</v>
      </c>
      <c r="S66" s="38">
        <v>6510</v>
      </c>
      <c r="T66" s="38">
        <v>1380</v>
      </c>
      <c r="U66" s="38">
        <v>750</v>
      </c>
      <c r="V66" s="38">
        <v>13920</v>
      </c>
      <c r="W66" s="38">
        <v>1740</v>
      </c>
      <c r="X66" s="38">
        <v>1202</v>
      </c>
      <c r="Y66" s="38"/>
      <c r="Z66" s="38"/>
      <c r="AA66" s="38"/>
      <c r="AB66" s="38">
        <v>5400</v>
      </c>
      <c r="AC66" s="38">
        <v>11790</v>
      </c>
      <c r="AD66" s="38">
        <v>390</v>
      </c>
      <c r="AE66" s="38">
        <v>6600</v>
      </c>
      <c r="AF66" s="38">
        <v>1810</v>
      </c>
      <c r="AG66" s="38"/>
      <c r="AH66" s="38">
        <v>1530</v>
      </c>
      <c r="AI66" s="38">
        <v>5220</v>
      </c>
      <c r="AJ66" s="38">
        <v>812</v>
      </c>
      <c r="AK66" s="5">
        <f>SUM(C66:AJ66)</f>
        <v>81048</v>
      </c>
      <c r="AL66">
        <f>+AB66+Q66+V66+AC66+AE66+AG66+S66</f>
        <v>44220</v>
      </c>
      <c r="AM66" s="20">
        <f>+C66+E66+I66+N66+P66+R66+X66+D66+AI66+W66+AF66</f>
        <v>22619</v>
      </c>
      <c r="AN66">
        <f>+B66+F66+O66+Y66+AD66+AJ66+AH66+K66+L66+U66+T66+Z66+AA66+M66+J66+H66+G66</f>
        <v>14209</v>
      </c>
      <c r="AO66">
        <f>+P66+U66+X66+AJ66+N66+I66+F66</f>
        <v>13761</v>
      </c>
      <c r="AP66" s="20">
        <f>+B66+C66+J66+K66+L66+O66+Q66+R66+V66+Y66+AB66+AC66+AD66+AE66+AG66+AH66+S66+D66+AI66+W66+M66+E66+G66+AF66</f>
        <v>65487</v>
      </c>
      <c r="AQ66">
        <f>+AA66+Z66+T66+H66</f>
        <v>1800</v>
      </c>
      <c r="AR66">
        <f>+AL66+AM66+AN66</f>
        <v>81048</v>
      </c>
    </row>
    <row r="67" spans="1:44" x14ac:dyDescent="0.2">
      <c r="A67" t="s">
        <v>2</v>
      </c>
      <c r="B67" s="38"/>
      <c r="C67" s="38">
        <v>572</v>
      </c>
      <c r="D67" s="38"/>
      <c r="E67" s="38"/>
      <c r="F67" s="38">
        <f>+F66*0.63</f>
        <v>2060.1</v>
      </c>
      <c r="G67" s="38">
        <v>342</v>
      </c>
      <c r="H67" s="38">
        <f>+H66*0.28</f>
        <v>117.60000000000001</v>
      </c>
      <c r="I67" s="38">
        <f>+I66*0.605</f>
        <v>1589.335</v>
      </c>
      <c r="J67" s="38">
        <f>+J66*0.89</f>
        <v>1521.9</v>
      </c>
      <c r="K67" s="38">
        <v>844</v>
      </c>
      <c r="L67" s="38">
        <f>+L66*0.9</f>
        <v>675</v>
      </c>
      <c r="M67" s="38">
        <v>43</v>
      </c>
      <c r="N67" s="38">
        <v>492</v>
      </c>
      <c r="O67" s="38">
        <v>107</v>
      </c>
      <c r="P67" s="38">
        <v>2720</v>
      </c>
      <c r="Q67" s="38"/>
      <c r="R67" s="38">
        <f>+R66*0.579</f>
        <v>1928.07</v>
      </c>
      <c r="S67" s="38">
        <f>+S66*0.521</f>
        <v>3391.71</v>
      </c>
      <c r="T67" s="38">
        <f>+T66*0.483</f>
        <v>666.54</v>
      </c>
      <c r="U67" s="38">
        <f>+U66*0.65</f>
        <v>487.5</v>
      </c>
      <c r="V67" s="38">
        <v>6502</v>
      </c>
      <c r="W67" s="38">
        <f>+W66*0.54</f>
        <v>939.6</v>
      </c>
      <c r="X67" s="38">
        <v>646</v>
      </c>
      <c r="Y67" s="38"/>
      <c r="Z67" s="38"/>
      <c r="AA67" s="38"/>
      <c r="AB67" s="38">
        <f>+AB66*0.7674</f>
        <v>4143.96</v>
      </c>
      <c r="AC67" s="38">
        <f>+AC66*0.78</f>
        <v>9196.2000000000007</v>
      </c>
      <c r="AD67" s="38">
        <v>160</v>
      </c>
      <c r="AE67" s="38">
        <v>6200</v>
      </c>
      <c r="AF67" s="38">
        <f>+AF66*0.569</f>
        <v>1029.8899999999999</v>
      </c>
      <c r="AG67" s="38"/>
      <c r="AH67" s="38">
        <v>1243</v>
      </c>
      <c r="AI67" s="38">
        <v>3877</v>
      </c>
      <c r="AJ67" s="38">
        <f>+AJ66*0.218</f>
        <v>177.01599999999999</v>
      </c>
      <c r="AK67" s="5">
        <f>SUM(C67:AJ67)</f>
        <v>51672.421000000002</v>
      </c>
      <c r="AL67">
        <f>+AB67+Q67+V67+AC67+AE67+AG67+S67</f>
        <v>29433.87</v>
      </c>
      <c r="AM67" s="20">
        <f>+C67+E67+I67+N67+P67+R67+X67+D67+AI67+W67+AF67</f>
        <v>13793.894999999999</v>
      </c>
      <c r="AN67">
        <f>+B67+F67+O67+Y67+AD67+AJ67+AH67+K67+L67+U67+T67+Z67+AA67+M67+J67+H67+G67</f>
        <v>8444.6560000000009</v>
      </c>
      <c r="AO67">
        <f>+P67+U67+X67+AJ67+N67+I67+F67</f>
        <v>8171.9509999999991</v>
      </c>
      <c r="AP67" s="20">
        <f>+B67+C67+J67+K67+L67+O67+Q67+R67+V67+Y67+AB67+AC67+AD67+AE67+AG67+AH67+S67+D67+AI67+W67+M67+E67+G67+AF67</f>
        <v>42716.33</v>
      </c>
      <c r="AQ67">
        <f>+AA67+Z67+T67+H67</f>
        <v>784.14</v>
      </c>
      <c r="AR67">
        <f>+AL67+AM67+AN67</f>
        <v>51672.421000000002</v>
      </c>
    </row>
    <row r="68" spans="1:44" x14ac:dyDescent="0.2">
      <c r="A68" t="s">
        <v>4</v>
      </c>
      <c r="C68" s="3">
        <f>+C67/C66</f>
        <v>0.35974842767295595</v>
      </c>
      <c r="D68" s="3"/>
      <c r="E68" s="3">
        <v>0</v>
      </c>
      <c r="F68" s="3">
        <f t="shared" ref="F68:X68" si="25">+F67/F66</f>
        <v>0.63</v>
      </c>
      <c r="G68" s="3">
        <f t="shared" si="25"/>
        <v>0.6705882352941176</v>
      </c>
      <c r="H68" s="3">
        <f t="shared" si="25"/>
        <v>0.28000000000000003</v>
      </c>
      <c r="I68" s="3">
        <f t="shared" si="25"/>
        <v>0.60499999999999998</v>
      </c>
      <c r="J68" s="3">
        <f t="shared" si="25"/>
        <v>0.89</v>
      </c>
      <c r="K68" s="3">
        <f t="shared" si="25"/>
        <v>0.52882205513784464</v>
      </c>
      <c r="L68" s="3">
        <f t="shared" si="25"/>
        <v>0.9</v>
      </c>
      <c r="M68" s="3">
        <f t="shared" si="25"/>
        <v>0.11590296495956873</v>
      </c>
      <c r="N68" s="3">
        <f t="shared" si="25"/>
        <v>0.22777777777777777</v>
      </c>
      <c r="O68" s="3">
        <f t="shared" si="25"/>
        <v>0.14861111111111111</v>
      </c>
      <c r="P68" s="3">
        <f t="shared" si="25"/>
        <v>0.92517006802721091</v>
      </c>
      <c r="Q68" s="3" t="e">
        <f t="shared" si="25"/>
        <v>#DIV/0!</v>
      </c>
      <c r="R68" s="3">
        <f t="shared" si="25"/>
        <v>0.57899999999999996</v>
      </c>
      <c r="S68" s="3">
        <f t="shared" si="25"/>
        <v>0.52100000000000002</v>
      </c>
      <c r="T68" s="3">
        <f t="shared" si="25"/>
        <v>0.48299999999999998</v>
      </c>
      <c r="U68" s="3">
        <f t="shared" si="25"/>
        <v>0.65</v>
      </c>
      <c r="V68" s="3">
        <f t="shared" si="25"/>
        <v>0.46709770114942528</v>
      </c>
      <c r="W68" s="3">
        <f t="shared" si="25"/>
        <v>0.54</v>
      </c>
      <c r="X68" s="3">
        <f t="shared" si="25"/>
        <v>0.53743760399334439</v>
      </c>
      <c r="Y68" s="3">
        <v>0</v>
      </c>
      <c r="Z68" s="3"/>
      <c r="AA68" s="3">
        <v>0</v>
      </c>
      <c r="AB68" s="3">
        <f>+AB67/AB66</f>
        <v>0.76739999999999997</v>
      </c>
      <c r="AC68" s="3">
        <f>+AC67/AC66</f>
        <v>0.78</v>
      </c>
      <c r="AD68" s="3">
        <f>+AD67/AD66</f>
        <v>0.41025641025641024</v>
      </c>
      <c r="AE68" s="3">
        <f>+AE67/AE66</f>
        <v>0.93939393939393945</v>
      </c>
      <c r="AF68" s="3">
        <f>+AF67/AF66</f>
        <v>0.56899999999999995</v>
      </c>
      <c r="AG68" s="3">
        <v>0</v>
      </c>
      <c r="AH68" s="3">
        <f t="shared" ref="AH68:AQ68" si="26">+AH67/AH66</f>
        <v>0.81241830065359477</v>
      </c>
      <c r="AI68" s="3">
        <f t="shared" si="26"/>
        <v>0.74272030651340992</v>
      </c>
      <c r="AJ68" s="3">
        <f t="shared" si="26"/>
        <v>0.218</v>
      </c>
      <c r="AK68" s="6">
        <f t="shared" si="26"/>
        <v>0.63755331408548022</v>
      </c>
      <c r="AL68" s="3">
        <f t="shared" si="26"/>
        <v>0.66562347354138396</v>
      </c>
      <c r="AM68" s="3">
        <f t="shared" si="26"/>
        <v>0.60983664176135099</v>
      </c>
      <c r="AN68" s="3">
        <f t="shared" si="26"/>
        <v>0.5943174044619608</v>
      </c>
      <c r="AO68" s="3">
        <f t="shared" si="26"/>
        <v>0.5938486301867596</v>
      </c>
      <c r="AP68" s="3">
        <f t="shared" si="26"/>
        <v>0.65228717149968696</v>
      </c>
      <c r="AQ68" s="3">
        <f t="shared" si="26"/>
        <v>0.43563333333333332</v>
      </c>
    </row>
    <row r="69" spans="1:44" x14ac:dyDescent="0.2">
      <c r="A69" s="20"/>
      <c r="B69" s="39"/>
      <c r="C69" s="39">
        <v>1</v>
      </c>
      <c r="D69" s="39"/>
      <c r="E69" s="39"/>
      <c r="F69" s="39">
        <v>1</v>
      </c>
      <c r="G69" s="39">
        <v>1</v>
      </c>
      <c r="H69" s="39">
        <v>1</v>
      </c>
      <c r="I69" s="39">
        <v>1</v>
      </c>
      <c r="J69" s="39">
        <v>1</v>
      </c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/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/>
      <c r="Z69" s="39"/>
      <c r="AA69" s="39"/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/>
      <c r="AH69" s="39">
        <v>1</v>
      </c>
      <c r="AI69" s="39">
        <v>1</v>
      </c>
      <c r="AJ69" s="39">
        <v>1</v>
      </c>
      <c r="AK69" s="19">
        <f>SUM(C69:AJ69)</f>
        <v>27</v>
      </c>
      <c r="AL69" s="20">
        <f>+AB69+Q69+V69+AC69+AE69+AG69+S69</f>
        <v>5</v>
      </c>
      <c r="AM69" s="20">
        <f>+C69+E69+I69+N69+P69+R69+X69+D69+AI69+W69+AF69</f>
        <v>9</v>
      </c>
      <c r="AN69" s="20">
        <f>+B69+F69+O69+Y69+AD69+AJ69+AH69+K69+L69+U69+T69+Z69+AA69+M69+J69+H69+G69</f>
        <v>13</v>
      </c>
      <c r="AO69" s="20">
        <f>+P69+U69+X69+AJ69+N69+I69+F69</f>
        <v>7</v>
      </c>
      <c r="AP69" s="20">
        <f>+B69+C69+J69+K69+L69+O69+Q69+R69+V69+Y69+AB69+AC69+AD69+AE69+AG69+AH69+S69+D69+AI69+W69+M69+E69+G69+AF69</f>
        <v>18</v>
      </c>
      <c r="AQ69" s="20">
        <f>+AA69+Z69+T69+H69</f>
        <v>2</v>
      </c>
    </row>
    <row r="70" spans="1:44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19"/>
      <c r="AL70" s="20"/>
      <c r="AM70" s="20"/>
      <c r="AN70" s="20"/>
      <c r="AO70" s="20"/>
      <c r="AP70" s="20"/>
      <c r="AQ70" s="20"/>
    </row>
    <row r="71" spans="1:44" x14ac:dyDescent="0.2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5"/>
    </row>
    <row r="72" spans="1:44" x14ac:dyDescent="0.2">
      <c r="A72" t="s">
        <v>1</v>
      </c>
      <c r="B72" s="38">
        <v>434</v>
      </c>
      <c r="C72" s="38">
        <v>1643</v>
      </c>
      <c r="D72" s="38"/>
      <c r="E72" s="38"/>
      <c r="F72" s="38">
        <v>3379</v>
      </c>
      <c r="G72" s="38">
        <v>527</v>
      </c>
      <c r="H72" s="38">
        <v>434</v>
      </c>
      <c r="I72" s="38">
        <v>2542</v>
      </c>
      <c r="J72" s="38">
        <v>1767</v>
      </c>
      <c r="K72" s="38">
        <v>1178</v>
      </c>
      <c r="L72" s="38">
        <v>775</v>
      </c>
      <c r="M72" s="38">
        <f>273/0.629</f>
        <v>434.02225755166933</v>
      </c>
      <c r="N72" s="38">
        <v>2232</v>
      </c>
      <c r="O72" s="38">
        <v>775</v>
      </c>
      <c r="P72" s="38">
        <v>3038</v>
      </c>
      <c r="Q72" s="38">
        <v>0</v>
      </c>
      <c r="R72" s="38">
        <v>3441</v>
      </c>
      <c r="S72" s="38">
        <v>6510</v>
      </c>
      <c r="T72" s="38">
        <v>1426</v>
      </c>
      <c r="U72" s="38">
        <v>775</v>
      </c>
      <c r="V72" s="38">
        <v>14384</v>
      </c>
      <c r="W72" s="38">
        <v>1798</v>
      </c>
      <c r="X72" s="38">
        <f>+X73/0.66</f>
        <v>1236.3636363636363</v>
      </c>
      <c r="Y72" s="38"/>
      <c r="Z72" s="38"/>
      <c r="AA72" s="38"/>
      <c r="AB72" s="38">
        <v>5580</v>
      </c>
      <c r="AC72" s="38">
        <v>12183</v>
      </c>
      <c r="AD72" s="38">
        <v>403</v>
      </c>
      <c r="AE72" s="38">
        <v>7781</v>
      </c>
      <c r="AF72" s="38">
        <f>+AF73/0.476</f>
        <v>1859.2436974789916</v>
      </c>
      <c r="AG72" s="38"/>
      <c r="AH72" s="38">
        <v>1581</v>
      </c>
      <c r="AI72" s="38">
        <v>5394</v>
      </c>
      <c r="AJ72" s="38">
        <v>1054</v>
      </c>
      <c r="AK72" s="5">
        <f>SUM(B72:AJ72)</f>
        <v>84563.629591394303</v>
      </c>
      <c r="AL72">
        <f>+AB72+Q72+V72+AC72+AE72+AG72+S72</f>
        <v>46438</v>
      </c>
      <c r="AM72" s="20">
        <f>+C72+E72+I72+N72+P72+R72+X72+D72+AI72+W72+AF72</f>
        <v>23183.607333842629</v>
      </c>
      <c r="AN72">
        <f>+B72+F72+O72+Y72+AD72+AJ72+AH72+K72+L72+U72+T72+Z72+AA72+M72+J72+H72+G72</f>
        <v>14942.022257551669</v>
      </c>
      <c r="AO72">
        <f>+P72+U72+X72+AJ72+N72+I72+F72</f>
        <v>14256.363636363636</v>
      </c>
      <c r="AP72" s="20">
        <f>+B72+C72+J72+K72+L72+O72+Q72+R72+V72+Y72+AB72+AC72+AD72+AE72+AG72+AH72+S72+D72+AI72+W72+M72+E72+G72+AF72</f>
        <v>68447.265955030656</v>
      </c>
      <c r="AQ72">
        <f>+AA72+Z72+T72+H72</f>
        <v>1860</v>
      </c>
      <c r="AR72">
        <f>+AL72+AM72+AN72</f>
        <v>84563.629591394303</v>
      </c>
    </row>
    <row r="73" spans="1:44" x14ac:dyDescent="0.2">
      <c r="A73" t="s">
        <v>2</v>
      </c>
      <c r="B73" s="38">
        <f>+B72*0.42</f>
        <v>182.28</v>
      </c>
      <c r="C73" s="38">
        <f>+C72*0.36</f>
        <v>591.48</v>
      </c>
      <c r="D73" s="38"/>
      <c r="E73" s="38"/>
      <c r="F73" s="38">
        <f>+F72*0.56</f>
        <v>1892.2400000000002</v>
      </c>
      <c r="G73" s="38">
        <v>259</v>
      </c>
      <c r="H73" s="38">
        <v>213</v>
      </c>
      <c r="I73" s="38">
        <f>+I72*0.84</f>
        <v>2135.2799999999997</v>
      </c>
      <c r="J73" s="38">
        <f>+J72*0.7</f>
        <v>1236.8999999999999</v>
      </c>
      <c r="K73" s="38">
        <v>564</v>
      </c>
      <c r="L73" s="38">
        <v>519</v>
      </c>
      <c r="M73" s="38">
        <f>434-273</f>
        <v>161</v>
      </c>
      <c r="N73" s="38">
        <v>1428</v>
      </c>
      <c r="O73" s="38">
        <v>589</v>
      </c>
      <c r="P73" s="38">
        <v>2601</v>
      </c>
      <c r="Q73" s="38">
        <f>+Q72*0.123</f>
        <v>0</v>
      </c>
      <c r="R73" s="38">
        <f>+R72*0.422</f>
        <v>1452.1019999999999</v>
      </c>
      <c r="S73" s="38">
        <f>+S72*0.286</f>
        <v>1861.86</v>
      </c>
      <c r="T73" s="38">
        <f>+T72*0.395</f>
        <v>563.27</v>
      </c>
      <c r="U73" s="38">
        <f>+U72*0.61</f>
        <v>472.75</v>
      </c>
      <c r="V73" s="38">
        <v>6954</v>
      </c>
      <c r="W73" s="38">
        <f>+W72*0.43</f>
        <v>773.14</v>
      </c>
      <c r="X73" s="38">
        <v>816</v>
      </c>
      <c r="Y73" s="38"/>
      <c r="Z73" s="38"/>
      <c r="AA73" s="38"/>
      <c r="AB73" s="38">
        <f>+AB72*0.5599</f>
        <v>3124.2419999999997</v>
      </c>
      <c r="AC73" s="38">
        <f>+AC72*0.67</f>
        <v>8162.6100000000006</v>
      </c>
      <c r="AD73" s="38">
        <v>222</v>
      </c>
      <c r="AE73" s="38">
        <v>5294</v>
      </c>
      <c r="AF73" s="38">
        <v>885</v>
      </c>
      <c r="AG73" s="38"/>
      <c r="AH73" s="38">
        <v>1247</v>
      </c>
      <c r="AI73" s="38">
        <v>3465</v>
      </c>
      <c r="AJ73" s="38">
        <f>+AJ72*0.602</f>
        <v>634.50799999999992</v>
      </c>
      <c r="AK73" s="5">
        <f>SUM(B73:AJ73)</f>
        <v>48299.661999999997</v>
      </c>
      <c r="AL73">
        <f>+AB73+Q73+V73+AC73+AE73+AG73+S73</f>
        <v>25396.712</v>
      </c>
      <c r="AM73" s="20">
        <f>+C73+E73+I73+N73+P73+R73+X73+D73+AI73+W73+AF73</f>
        <v>14147.002</v>
      </c>
      <c r="AN73">
        <f>+B73+F73+O73+Y73+AD73+AJ73+AH73+K73+L73+U73+T73+Z73+AA73+M73+J73+H73+G73</f>
        <v>8755.9480000000003</v>
      </c>
      <c r="AO73">
        <f>+P73+U73+X73+AJ73+N73+I73+F73</f>
        <v>9979.7780000000002</v>
      </c>
      <c r="AP73" s="20">
        <f>+B73+C73+J73+K73+L73+O73+Q73+R73+V73+Y73+AB73+AC73+AD73+AE73+AG73+AH73+S73+D73+AI73+W73+M73+E73+G73+AF73</f>
        <v>37543.614000000001</v>
      </c>
      <c r="AQ73">
        <f>+AA73+Z73+T73+H73</f>
        <v>776.27</v>
      </c>
      <c r="AR73">
        <f>+AL73+AM73+AN73</f>
        <v>48299.661999999997</v>
      </c>
    </row>
    <row r="74" spans="1:44" x14ac:dyDescent="0.2">
      <c r="A74" t="s">
        <v>4</v>
      </c>
      <c r="B74" s="3">
        <f>+B73/B72</f>
        <v>0.42</v>
      </c>
      <c r="C74" s="3">
        <f>+C73/C72</f>
        <v>0.36</v>
      </c>
      <c r="D74" s="3"/>
      <c r="E74" s="3">
        <v>0</v>
      </c>
      <c r="F74" s="3">
        <f t="shared" ref="F74:L74" si="27">+F73/F72</f>
        <v>0.56000000000000005</v>
      </c>
      <c r="G74" s="3">
        <f t="shared" si="27"/>
        <v>0.49146110056925996</v>
      </c>
      <c r="H74" s="3">
        <f t="shared" si="27"/>
        <v>0.49078341013824883</v>
      </c>
      <c r="I74" s="3">
        <f t="shared" si="27"/>
        <v>0.83999999999999986</v>
      </c>
      <c r="J74" s="3">
        <f t="shared" si="27"/>
        <v>0.7</v>
      </c>
      <c r="K74" s="3">
        <f t="shared" si="27"/>
        <v>0.47877758913412566</v>
      </c>
      <c r="L74" s="3">
        <f t="shared" si="27"/>
        <v>0.66967741935483871</v>
      </c>
      <c r="M74" s="3">
        <f t="shared" ref="M74:X74" si="28">+M73/M72</f>
        <v>0.37094871794871792</v>
      </c>
      <c r="N74" s="3">
        <f t="shared" si="28"/>
        <v>0.63978494623655913</v>
      </c>
      <c r="O74" s="3">
        <f t="shared" si="28"/>
        <v>0.76</v>
      </c>
      <c r="P74" s="3">
        <f t="shared" si="28"/>
        <v>0.85615536537195525</v>
      </c>
      <c r="Q74" s="3" t="e">
        <f t="shared" si="28"/>
        <v>#DIV/0!</v>
      </c>
      <c r="R74" s="3">
        <f t="shared" si="28"/>
        <v>0.42199999999999999</v>
      </c>
      <c r="S74" s="3">
        <f t="shared" si="28"/>
        <v>0.28599999999999998</v>
      </c>
      <c r="T74" s="3">
        <f t="shared" si="28"/>
        <v>0.39499999999999996</v>
      </c>
      <c r="U74" s="3">
        <f t="shared" si="28"/>
        <v>0.61</v>
      </c>
      <c r="V74" s="3">
        <f t="shared" si="28"/>
        <v>0.48345383759733035</v>
      </c>
      <c r="W74" s="3">
        <f t="shared" si="28"/>
        <v>0.43</v>
      </c>
      <c r="X74" s="3">
        <f t="shared" si="28"/>
        <v>0.66</v>
      </c>
      <c r="Y74" s="3">
        <v>0</v>
      </c>
      <c r="Z74" s="3"/>
      <c r="AA74" s="3">
        <v>0</v>
      </c>
      <c r="AB74" s="3">
        <f t="shared" ref="AB74:AQ74" si="29">+AB73/AB72</f>
        <v>0.55989999999999995</v>
      </c>
      <c r="AC74" s="3">
        <f t="shared" si="29"/>
        <v>0.67</v>
      </c>
      <c r="AD74" s="3">
        <f t="shared" si="29"/>
        <v>0.5508684863523573</v>
      </c>
      <c r="AE74" s="3">
        <f t="shared" si="29"/>
        <v>0.68037527310114376</v>
      </c>
      <c r="AF74" s="3">
        <f t="shared" si="29"/>
        <v>0.47599999999999998</v>
      </c>
      <c r="AG74" s="3">
        <v>0</v>
      </c>
      <c r="AH74" s="3">
        <f t="shared" si="29"/>
        <v>0.78874130297280198</v>
      </c>
      <c r="AI74" s="3">
        <f t="shared" si="29"/>
        <v>0.64238042269187989</v>
      </c>
      <c r="AJ74" s="3">
        <f t="shared" si="29"/>
        <v>0.60199999999999998</v>
      </c>
      <c r="AK74" s="6">
        <f t="shared" si="29"/>
        <v>0.57116353961366928</v>
      </c>
      <c r="AL74" s="3">
        <f t="shared" si="29"/>
        <v>0.54689504285283608</v>
      </c>
      <c r="AM74" s="3">
        <f t="shared" si="29"/>
        <v>0.61021573546704688</v>
      </c>
      <c r="AN74" s="3">
        <f t="shared" si="29"/>
        <v>0.58599484387561807</v>
      </c>
      <c r="AO74" s="3">
        <f t="shared" si="29"/>
        <v>0.70002268843259796</v>
      </c>
      <c r="AP74" s="3">
        <f t="shared" si="29"/>
        <v>0.54850421673037864</v>
      </c>
      <c r="AQ74" s="3">
        <f t="shared" si="29"/>
        <v>0.41734946236559139</v>
      </c>
    </row>
    <row r="75" spans="1:44" x14ac:dyDescent="0.2">
      <c r="A75" s="20"/>
      <c r="B75" s="20">
        <v>1</v>
      </c>
      <c r="C75" s="20">
        <v>1</v>
      </c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0</v>
      </c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/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/>
      <c r="AH75" s="20">
        <v>1</v>
      </c>
      <c r="AI75" s="20">
        <v>1</v>
      </c>
      <c r="AJ75" s="20">
        <v>1</v>
      </c>
      <c r="AK75" s="19">
        <f>SUM(B75:AJ75)</f>
        <v>28</v>
      </c>
      <c r="AL75" s="20">
        <f>+AB75+Q75+V75+AC75+AE75+AG75+S75</f>
        <v>5</v>
      </c>
      <c r="AM75" s="20">
        <f>+C75+E75+I75+N75+P75+R75+X75+D75+AI75+W75+AF75</f>
        <v>9</v>
      </c>
      <c r="AN75" s="20">
        <f>+B75+F75+O75+Y75+AD75+AJ75+AH75+K75+L75+U75+T75+Z75+AA75+M75+J75+H75+G75</f>
        <v>14</v>
      </c>
      <c r="AO75" s="20">
        <f>+P75+U75+X75+AJ75+N75+I75+F75</f>
        <v>7</v>
      </c>
      <c r="AP75" s="20">
        <f>+B75+C75+J75+K75+L75+O75+Q75+R75+V75+Y75+AB75+AC75+AD75+AE75+AG75+AH75+S75+D75+AI75+W75+M75+E75+G75+AF75</f>
        <v>19</v>
      </c>
      <c r="AQ75" s="20">
        <f>+AA75+Z75+T75+H75</f>
        <v>2</v>
      </c>
    </row>
    <row r="76" spans="1:44" x14ac:dyDescent="0.2">
      <c r="A76" t="s">
        <v>61</v>
      </c>
      <c r="AK76">
        <f t="shared" ref="AK76:AQ77" si="30">+AK6+AK12+AK18+AK24+AK30+AK36+AK42+AK48+AK54+AK60+AK66+AK72</f>
        <v>994370.74161850603</v>
      </c>
      <c r="AL76">
        <f t="shared" si="30"/>
        <v>586280</v>
      </c>
      <c r="AM76">
        <f t="shared" si="30"/>
        <v>247268.82650381158</v>
      </c>
      <c r="AN76">
        <f t="shared" si="30"/>
        <v>160821.91511469451</v>
      </c>
      <c r="AO76">
        <f t="shared" si="30"/>
        <v>148677.65439261249</v>
      </c>
      <c r="AP76">
        <f t="shared" si="30"/>
        <v>823793.08722589375</v>
      </c>
      <c r="AQ76">
        <f t="shared" si="30"/>
        <v>21900</v>
      </c>
    </row>
    <row r="77" spans="1:44" x14ac:dyDescent="0.2">
      <c r="AK77">
        <f t="shared" si="30"/>
        <v>553719.53957142867</v>
      </c>
      <c r="AL77">
        <f t="shared" si="30"/>
        <v>327902.66220000002</v>
      </c>
      <c r="AM77">
        <f t="shared" si="30"/>
        <v>132353.82</v>
      </c>
      <c r="AN77">
        <f t="shared" si="30"/>
        <v>93663.057371428586</v>
      </c>
      <c r="AO77">
        <f t="shared" si="30"/>
        <v>84397.65437142858</v>
      </c>
      <c r="AP77">
        <f t="shared" si="30"/>
        <v>459954.70720000006</v>
      </c>
      <c r="AQ77">
        <f t="shared" si="30"/>
        <v>9567.1779999999999</v>
      </c>
    </row>
    <row r="78" spans="1:44" x14ac:dyDescent="0.2">
      <c r="AE78" t="s">
        <v>15</v>
      </c>
      <c r="AK78" s="6">
        <f t="shared" ref="AK78:AQ78" si="31">+AK77/AK76</f>
        <v>0.55685421583317785</v>
      </c>
      <c r="AL78" s="6">
        <f t="shared" si="31"/>
        <v>0.55929361772531905</v>
      </c>
      <c r="AM78" s="6">
        <f t="shared" si="31"/>
        <v>0.53526286297945369</v>
      </c>
      <c r="AN78" s="6">
        <f t="shared" si="31"/>
        <v>0.5824023256073666</v>
      </c>
      <c r="AO78" s="6">
        <f t="shared" si="31"/>
        <v>0.5676552721807141</v>
      </c>
      <c r="AP78" s="6">
        <f t="shared" si="31"/>
        <v>0.55833766310043709</v>
      </c>
      <c r="AQ78" s="6">
        <f t="shared" si="31"/>
        <v>0.43685744292237444</v>
      </c>
    </row>
    <row r="81" spans="29:37" x14ac:dyDescent="0.2">
      <c r="AC81">
        <f>+AC36+AC42+AC48+AC54+AC60+AC66+AC72</f>
        <v>84102</v>
      </c>
      <c r="AK81">
        <f>+AK36+AK42+AK48+AK54+AK60+AK66+AK72</f>
        <v>554632.60996641417</v>
      </c>
    </row>
    <row r="82" spans="29:37" x14ac:dyDescent="0.2">
      <c r="AC82">
        <f>+AC37+AC43+AC49+AC55+AC61+AC67+AC73</f>
        <v>62610.037800000006</v>
      </c>
      <c r="AK82">
        <f>+AK37+AK43+AK49+AK55+AK61+AK67+AK73</f>
        <v>288589.59619999997</v>
      </c>
    </row>
    <row r="83" spans="29:37" x14ac:dyDescent="0.2">
      <c r="AK83">
        <f>+AK82/AK81</f>
        <v>0.52032569130306916</v>
      </c>
    </row>
  </sheetData>
  <phoneticPr fontId="3" type="noConversion"/>
  <pageMargins left="0.74803149606299213" right="0.4" top="0.53" bottom="0.47" header="0.51181102362204722" footer="0.51181102362204722"/>
  <pageSetup scale="41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5"/>
  <sheetViews>
    <sheetView topLeftCell="A2" zoomScale="112" zoomScaleNormal="112" workbookViewId="0">
      <pane xSplit="1" ySplit="3" topLeftCell="B26" activePane="bottomRight" state="frozen"/>
      <selection activeCell="A2" sqref="A2"/>
      <selection pane="topRight" activeCell="B2" sqref="B2"/>
      <selection pane="bottomLeft" activeCell="A5" sqref="A5"/>
      <selection pane="bottomRight" activeCell="E46" sqref="E46"/>
    </sheetView>
  </sheetViews>
  <sheetFormatPr defaultRowHeight="12.75" x14ac:dyDescent="0.2"/>
  <cols>
    <col min="1" max="1" width="16" customWidth="1"/>
    <col min="2" max="2" width="7.5703125" customWidth="1"/>
    <col min="3" max="14" width="6.28515625" customWidth="1"/>
    <col min="15" max="15" width="6.5703125" customWidth="1"/>
    <col min="16" max="16" width="10" customWidth="1"/>
    <col min="17" max="17" width="5.28515625" customWidth="1"/>
    <col min="18" max="18" width="6.28515625" customWidth="1"/>
    <col min="19" max="19" width="6.42578125" customWidth="1"/>
    <col min="20" max="21" width="5.28515625" customWidth="1"/>
    <col min="22" max="22" width="6.28515625" customWidth="1"/>
    <col min="23" max="24" width="5.28515625" customWidth="1"/>
    <col min="25" max="27" width="5.7109375" customWidth="1"/>
    <col min="28" max="28" width="7.7109375" customWidth="1"/>
    <col min="29" max="29" width="8.140625" customWidth="1"/>
    <col min="30" max="30" width="5.140625" customWidth="1"/>
    <col min="31" max="31" width="9.140625" customWidth="1"/>
    <col min="32" max="32" width="5.140625" customWidth="1"/>
    <col min="33" max="33" width="5.28515625" customWidth="1"/>
    <col min="34" max="34" width="6" customWidth="1"/>
    <col min="35" max="35" width="11.7109375" customWidth="1"/>
    <col min="36" max="36" width="5.7109375" customWidth="1"/>
    <col min="37" max="37" width="9.85546875" customWidth="1"/>
    <col min="38" max="38" width="8.7109375" customWidth="1"/>
    <col min="39" max="39" width="8.42578125" customWidth="1"/>
    <col min="40" max="40" width="8.28515625" customWidth="1"/>
    <col min="41" max="41" width="8" customWidth="1"/>
    <col min="42" max="42" width="9.28515625" customWidth="1"/>
    <col min="43" max="43" width="7.85546875" customWidth="1"/>
  </cols>
  <sheetData>
    <row r="1" spans="1:46" x14ac:dyDescent="0.2">
      <c r="M1" t="s">
        <v>15</v>
      </c>
      <c r="T1" t="s">
        <v>15</v>
      </c>
      <c r="V1" t="s">
        <v>15</v>
      </c>
      <c r="X1" t="s">
        <v>15</v>
      </c>
    </row>
    <row r="2" spans="1:46" x14ac:dyDescent="0.2">
      <c r="A2" t="s">
        <v>36</v>
      </c>
      <c r="B2" s="10"/>
      <c r="C2" s="10"/>
      <c r="D2" s="11"/>
      <c r="E2" s="11"/>
      <c r="F2" s="10"/>
      <c r="G2" s="11"/>
      <c r="H2" s="10"/>
      <c r="I2" s="11"/>
      <c r="J2" s="11"/>
      <c r="K2" s="11"/>
      <c r="L2" s="10"/>
      <c r="M2" s="10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2"/>
      <c r="AH2" s="10"/>
      <c r="AI2" s="10"/>
      <c r="AJ2" s="10"/>
    </row>
    <row r="3" spans="1:46" x14ac:dyDescent="0.2">
      <c r="A3" t="s">
        <v>37</v>
      </c>
      <c r="B3" s="14"/>
      <c r="C3" s="14"/>
      <c r="D3" s="14"/>
      <c r="E3" s="14"/>
      <c r="F3" s="13"/>
      <c r="G3" s="14"/>
      <c r="H3" s="15"/>
      <c r="I3" s="13"/>
      <c r="J3" s="14"/>
      <c r="K3" s="14"/>
      <c r="L3" s="14"/>
      <c r="M3" s="14"/>
      <c r="N3" s="13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4"/>
      <c r="AJ3" s="13"/>
    </row>
    <row r="4" spans="1:46" ht="123" x14ac:dyDescent="0.2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126</v>
      </c>
      <c r="X4" s="8" t="s">
        <v>28</v>
      </c>
      <c r="Y4" s="7"/>
      <c r="Z4" s="7"/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120</v>
      </c>
      <c r="AG4" s="9"/>
      <c r="AH4" s="7" t="s">
        <v>5</v>
      </c>
      <c r="AI4" s="7" t="s">
        <v>68</v>
      </c>
      <c r="AJ4" s="7" t="s">
        <v>11</v>
      </c>
      <c r="AK4" s="4" t="s">
        <v>13</v>
      </c>
      <c r="AL4" s="1" t="s">
        <v>21</v>
      </c>
      <c r="AM4" s="1" t="s">
        <v>22</v>
      </c>
      <c r="AN4" s="1" t="s">
        <v>23</v>
      </c>
      <c r="AO4" s="1" t="s">
        <v>43</v>
      </c>
      <c r="AP4" s="1" t="s">
        <v>44</v>
      </c>
      <c r="AQ4" s="1" t="s">
        <v>45</v>
      </c>
    </row>
    <row r="5" spans="1:46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K5" s="5"/>
    </row>
    <row r="6" spans="1:46" x14ac:dyDescent="0.2">
      <c r="A6" t="s">
        <v>1</v>
      </c>
      <c r="B6" s="38">
        <v>434</v>
      </c>
      <c r="C6" s="38">
        <v>1643</v>
      </c>
      <c r="D6" s="38"/>
      <c r="E6" s="38"/>
      <c r="F6" s="38">
        <v>3379</v>
      </c>
      <c r="G6" s="38">
        <v>527</v>
      </c>
      <c r="H6" s="38">
        <v>434</v>
      </c>
      <c r="I6" s="38">
        <v>2542</v>
      </c>
      <c r="J6" s="38">
        <v>1767</v>
      </c>
      <c r="K6" s="38">
        <v>1178</v>
      </c>
      <c r="L6" s="38">
        <v>775</v>
      </c>
      <c r="M6" s="38"/>
      <c r="N6" s="38">
        <v>2232</v>
      </c>
      <c r="O6" s="38">
        <v>713</v>
      </c>
      <c r="P6" s="38">
        <v>3038</v>
      </c>
      <c r="Q6" s="38">
        <v>8246</v>
      </c>
      <c r="R6" s="38">
        <v>3441</v>
      </c>
      <c r="S6" s="38">
        <v>6510</v>
      </c>
      <c r="T6" s="38">
        <v>1426</v>
      </c>
      <c r="U6" s="38">
        <v>775</v>
      </c>
      <c r="V6" s="38">
        <v>14384</v>
      </c>
      <c r="W6" s="38">
        <v>1798</v>
      </c>
      <c r="X6" s="38">
        <f>+X7/0.788</f>
        <v>1239.8477157360405</v>
      </c>
      <c r="Y6" s="38"/>
      <c r="Z6" s="38"/>
      <c r="AA6" s="38"/>
      <c r="AB6" s="38">
        <v>5580</v>
      </c>
      <c r="AC6" s="38">
        <v>12183</v>
      </c>
      <c r="AD6" s="38">
        <v>403</v>
      </c>
      <c r="AE6" s="38">
        <v>7781</v>
      </c>
      <c r="AF6" s="38">
        <v>1860</v>
      </c>
      <c r="AG6" s="38"/>
      <c r="AH6" s="38">
        <v>1581</v>
      </c>
      <c r="AI6" s="38">
        <v>5487</v>
      </c>
      <c r="AJ6" s="38">
        <v>1054</v>
      </c>
      <c r="AK6" s="5">
        <f>SUM(B6:AJ6)</f>
        <v>92410.847715736047</v>
      </c>
      <c r="AL6">
        <f>+AB6+Q6+V6+AC6+AE6+AG6+S6</f>
        <v>54684</v>
      </c>
      <c r="AM6" s="20">
        <f>+C6+E6+I6+N6+P6+R6+X6+D6+AI6+W6+AF6</f>
        <v>23280.847715736039</v>
      </c>
      <c r="AN6">
        <f>+B6+F6+O6+Y6+AD6+AJ6+AH6+K6+L6+U6+T6+Z6+AA6+M6+J6+H6+G6</f>
        <v>14446</v>
      </c>
      <c r="AO6">
        <f>+P6+U6+X6+AJ6+N6+I6+F6</f>
        <v>14259.847715736039</v>
      </c>
      <c r="AP6" s="20">
        <f>+B6+C6+J6+K6+L6+O6+Q6+R6+V6+Y6+AB6+AC6+AD6+AE6+AG6+AH6+S6+D6+AI6+W6+M6+E6+G6+AF6</f>
        <v>76291</v>
      </c>
      <c r="AQ6">
        <f>+AA6+Z6+T6+H6</f>
        <v>1860</v>
      </c>
      <c r="AR6">
        <f>+AL6+AM6+AN6</f>
        <v>92410.847715736047</v>
      </c>
      <c r="AS6">
        <f>+AL6+AM6+AN6</f>
        <v>92410.847715736047</v>
      </c>
      <c r="AT6">
        <f>+AQ6+AP6+AO6</f>
        <v>92410.847715736047</v>
      </c>
    </row>
    <row r="7" spans="1:46" x14ac:dyDescent="0.2">
      <c r="A7" t="s">
        <v>2</v>
      </c>
      <c r="B7" s="38">
        <f>+B6*0.5</f>
        <v>217</v>
      </c>
      <c r="C7" s="38">
        <f>+C6*0.33</f>
        <v>542.19000000000005</v>
      </c>
      <c r="D7" s="38"/>
      <c r="E7" s="38"/>
      <c r="F7" s="38">
        <f>+F6*0.57</f>
        <v>1926.0299999999997</v>
      </c>
      <c r="G7" s="38">
        <f>+G6*0.679</f>
        <v>357.83300000000003</v>
      </c>
      <c r="H7" s="38">
        <v>174</v>
      </c>
      <c r="I7" s="38">
        <f>+I6*0.555</f>
        <v>1410.8100000000002</v>
      </c>
      <c r="J7" s="38">
        <f>+J6*0.9</f>
        <v>1590.3</v>
      </c>
      <c r="K7" s="38">
        <v>876</v>
      </c>
      <c r="L7" s="38">
        <f>+L6*0.76</f>
        <v>589</v>
      </c>
      <c r="M7" s="38"/>
      <c r="N7" s="38">
        <v>1299</v>
      </c>
      <c r="O7" s="38">
        <v>242</v>
      </c>
      <c r="P7" s="38">
        <v>2928</v>
      </c>
      <c r="Q7" s="38">
        <f>+Q6*0.113</f>
        <v>931.798</v>
      </c>
      <c r="R7" s="38">
        <f>+R6*0.465</f>
        <v>1600.0650000000001</v>
      </c>
      <c r="S7" s="38">
        <f>+S6*0.546</f>
        <v>3554.4600000000005</v>
      </c>
      <c r="T7" s="38">
        <f>+T6*0.447</f>
        <v>637.42200000000003</v>
      </c>
      <c r="U7" s="38">
        <f>+U6*0.96</f>
        <v>744</v>
      </c>
      <c r="V7" s="38">
        <v>9465</v>
      </c>
      <c r="W7" s="38">
        <f>+W6*0.53</f>
        <v>952.94</v>
      </c>
      <c r="X7" s="38">
        <v>977</v>
      </c>
      <c r="Y7" s="38"/>
      <c r="Z7" s="38"/>
      <c r="AA7" s="38"/>
      <c r="AB7" s="38">
        <f>+AB6*0.8905</f>
        <v>4968.99</v>
      </c>
      <c r="AC7" s="38">
        <f>+AC6*0.9272</f>
        <v>11296.077600000001</v>
      </c>
      <c r="AD7" s="38">
        <v>267</v>
      </c>
      <c r="AE7" s="38">
        <v>5701</v>
      </c>
      <c r="AF7" s="38">
        <f>+AF6*0.408</f>
        <v>758.88</v>
      </c>
      <c r="AG7" s="38"/>
      <c r="AH7" s="38">
        <v>1265</v>
      </c>
      <c r="AI7" s="38">
        <v>4043</v>
      </c>
      <c r="AJ7" s="38">
        <f>+AJ6*0.6129</f>
        <v>645.99659999999994</v>
      </c>
      <c r="AK7" s="5">
        <f>SUM(B7:AJ7)</f>
        <v>59960.792199999989</v>
      </c>
      <c r="AL7">
        <f>+AB7+Q7+V7+AC7+AE7+AG7+S7</f>
        <v>35917.325600000004</v>
      </c>
      <c r="AM7" s="20">
        <f>+C7+E7+I7+N7+P7+R7+X7+D7+AI7+W7+AF7</f>
        <v>14511.885</v>
      </c>
      <c r="AN7">
        <f>+B7+F7+O7+Y7+AD7+AJ7+AH7+K7+L7+U7+T7+Z7+AA7+M7+J7+H7+G7</f>
        <v>9531.5815999999995</v>
      </c>
      <c r="AO7">
        <f>+P7+U7+X7+AJ7+N7+I7+F7</f>
        <v>9930.8366000000005</v>
      </c>
      <c r="AP7" s="20">
        <f>+B7+C7+J7+K7+L7+O7+Q7+R7+V7+Y7+AB7+AC7+AD7+AE7+AG7+AH7+S7+D7+AI7+W7+M7+E7+G7+AF7</f>
        <v>49218.533599999995</v>
      </c>
      <c r="AQ7">
        <f>+AA7+Z7+T7+H7</f>
        <v>811.42200000000003</v>
      </c>
      <c r="AR7">
        <f>+AL7+AM7+AN7</f>
        <v>59960.792200000004</v>
      </c>
    </row>
    <row r="8" spans="1:46" x14ac:dyDescent="0.2">
      <c r="A8" t="s">
        <v>4</v>
      </c>
      <c r="B8" s="3">
        <f>+B7/B6</f>
        <v>0.5</v>
      </c>
      <c r="C8" s="3">
        <f>+C7/C6</f>
        <v>0.33</v>
      </c>
      <c r="D8" s="3"/>
      <c r="E8" s="3">
        <v>0</v>
      </c>
      <c r="F8" s="3">
        <f>+F7/F6</f>
        <v>0.56999999999999995</v>
      </c>
      <c r="G8" s="3">
        <f>+G7/G6</f>
        <v>0.67900000000000005</v>
      </c>
      <c r="H8" s="3">
        <f t="shared" ref="H8:X8" si="0">+H7/H6</f>
        <v>0.4009216589861751</v>
      </c>
      <c r="I8" s="3">
        <f t="shared" si="0"/>
        <v>0.55500000000000005</v>
      </c>
      <c r="J8" s="3">
        <f t="shared" si="0"/>
        <v>0.9</v>
      </c>
      <c r="K8" s="3">
        <f t="shared" si="0"/>
        <v>0.74363327674023771</v>
      </c>
      <c r="L8" s="3">
        <f t="shared" si="0"/>
        <v>0.76</v>
      </c>
      <c r="M8" s="3" t="e">
        <f t="shared" si="0"/>
        <v>#DIV/0!</v>
      </c>
      <c r="N8" s="3">
        <f t="shared" si="0"/>
        <v>0.581989247311828</v>
      </c>
      <c r="O8" s="3">
        <f>+O7/O6</f>
        <v>0.33941093969144459</v>
      </c>
      <c r="P8" s="3">
        <f t="shared" si="0"/>
        <v>0.96379196840026338</v>
      </c>
      <c r="Q8" s="3">
        <f>+Q7/Q6</f>
        <v>0.113</v>
      </c>
      <c r="R8" s="3">
        <f t="shared" si="0"/>
        <v>0.46500000000000002</v>
      </c>
      <c r="S8" s="3">
        <f t="shared" si="0"/>
        <v>0.54600000000000004</v>
      </c>
      <c r="T8" s="3">
        <f t="shared" si="0"/>
        <v>0.44700000000000001</v>
      </c>
      <c r="U8" s="3">
        <f t="shared" si="0"/>
        <v>0.96</v>
      </c>
      <c r="V8" s="3">
        <f t="shared" si="0"/>
        <v>0.65802280311457173</v>
      </c>
      <c r="W8" s="3">
        <f t="shared" si="0"/>
        <v>0.53</v>
      </c>
      <c r="X8" s="3">
        <f t="shared" si="0"/>
        <v>0.78800000000000003</v>
      </c>
      <c r="Y8" s="3"/>
      <c r="Z8" s="3"/>
      <c r="AA8" s="3"/>
      <c r="AB8" s="3">
        <f t="shared" ref="AB8:AQ8" si="1">+AB7/AB6</f>
        <v>0.89049999999999996</v>
      </c>
      <c r="AC8" s="3">
        <f t="shared" si="1"/>
        <v>0.92720000000000002</v>
      </c>
      <c r="AD8" s="3">
        <f t="shared" si="1"/>
        <v>0.66253101736972708</v>
      </c>
      <c r="AE8" s="3">
        <f t="shared" si="1"/>
        <v>0.73268217452769568</v>
      </c>
      <c r="AF8" s="3">
        <f t="shared" si="1"/>
        <v>0.40799999999999997</v>
      </c>
      <c r="AG8" s="3"/>
      <c r="AH8" s="3">
        <f t="shared" si="1"/>
        <v>0.80012650221378878</v>
      </c>
      <c r="AI8" s="3">
        <f t="shared" si="1"/>
        <v>0.73683251321304899</v>
      </c>
      <c r="AJ8" s="3">
        <f t="shared" si="1"/>
        <v>0.6129</v>
      </c>
      <c r="AK8" s="6">
        <f t="shared" si="1"/>
        <v>0.64885014781429884</v>
      </c>
      <c r="AL8" s="3">
        <f t="shared" si="1"/>
        <v>0.65681599005193481</v>
      </c>
      <c r="AM8" s="3">
        <f t="shared" si="1"/>
        <v>0.62334005948550986</v>
      </c>
      <c r="AN8" s="3">
        <f t="shared" si="1"/>
        <v>0.65980766994323681</v>
      </c>
      <c r="AO8" s="3">
        <f t="shared" si="1"/>
        <v>0.69641954093528746</v>
      </c>
      <c r="AP8" s="3">
        <f t="shared" si="1"/>
        <v>0.6451420691824723</v>
      </c>
      <c r="AQ8" s="3">
        <f t="shared" si="1"/>
        <v>0.43624838709677421</v>
      </c>
    </row>
    <row r="9" spans="1:46" x14ac:dyDescent="0.2">
      <c r="A9" s="20"/>
      <c r="B9" s="20">
        <v>1</v>
      </c>
      <c r="C9" s="20">
        <v>1</v>
      </c>
      <c r="D9" s="20"/>
      <c r="E9" s="20"/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/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/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/>
      <c r="AH9" s="20">
        <v>1</v>
      </c>
      <c r="AI9" s="20">
        <v>1</v>
      </c>
      <c r="AJ9" s="20">
        <v>1</v>
      </c>
      <c r="AK9" s="19">
        <f>SUM(B9:AJ9)</f>
        <v>28</v>
      </c>
      <c r="AL9" s="20">
        <f>+AB9+Q9+V9+AC9+AE9+AG9+S9</f>
        <v>6</v>
      </c>
      <c r="AM9" s="20">
        <f>+C9+E9+I9+N9+P9+R9+X9+D9+AI9+W9+AF9</f>
        <v>9</v>
      </c>
      <c r="AN9" s="20">
        <f>+B9+F9+O9+Y9+AD9+AJ9+AH9+K9+L9+U9+T9+Z9+AA9+M9+J9+H9+G9</f>
        <v>13</v>
      </c>
      <c r="AO9" s="20">
        <f>+P9+U9+X9+AJ9+N9+I9+F9</f>
        <v>7</v>
      </c>
      <c r="AP9" s="20">
        <f>+B9+C9+J9+K9+L9+O9+Q9+R9+V9+Y9+AB9+AC9+AD9+AE9+AG9+AH9+S9+D9+AI9+W9+M9+E9+G9+AF9</f>
        <v>19</v>
      </c>
      <c r="AQ9" s="20">
        <f>+AA9+Z9+T9+H9</f>
        <v>2</v>
      </c>
    </row>
    <row r="10" spans="1:46" x14ac:dyDescent="0.2">
      <c r="AA10" t="s">
        <v>15</v>
      </c>
    </row>
    <row r="11" spans="1:46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Z11" s="1"/>
      <c r="AA11" s="1"/>
      <c r="AB11" s="1"/>
      <c r="AC11" s="1"/>
      <c r="AD11" s="1"/>
      <c r="AE11" s="1"/>
      <c r="AF11" s="1"/>
      <c r="AG11" s="1"/>
      <c r="AK11" s="5"/>
    </row>
    <row r="12" spans="1:46" x14ac:dyDescent="0.2">
      <c r="A12" t="s">
        <v>1</v>
      </c>
      <c r="B12" s="38">
        <f>434/31*28</f>
        <v>392</v>
      </c>
      <c r="C12" s="38">
        <f>1643/31*28</f>
        <v>1484</v>
      </c>
      <c r="D12" s="38"/>
      <c r="E12" s="38"/>
      <c r="F12" s="38">
        <f>3379/31*28</f>
        <v>3052</v>
      </c>
      <c r="G12" s="38">
        <f>527/31*28</f>
        <v>476</v>
      </c>
      <c r="H12" s="38">
        <f>434/31*28</f>
        <v>392</v>
      </c>
      <c r="I12" s="38">
        <f>2542/31*28</f>
        <v>2296</v>
      </c>
      <c r="J12" s="38">
        <f>1767/31*28</f>
        <v>1596</v>
      </c>
      <c r="K12" s="38">
        <f>1176/31*28</f>
        <v>1062.1935483870968</v>
      </c>
      <c r="L12" s="38">
        <f>26*28</f>
        <v>728</v>
      </c>
      <c r="M12" s="38"/>
      <c r="N12" s="38">
        <v>2016</v>
      </c>
      <c r="O12" s="38">
        <v>672</v>
      </c>
      <c r="P12" s="38">
        <v>2744</v>
      </c>
      <c r="Q12" s="38">
        <f>8246/31*28</f>
        <v>7448</v>
      </c>
      <c r="R12" s="38">
        <f>3441/31*28</f>
        <v>3108</v>
      </c>
      <c r="S12" s="38">
        <f>6510/31*28</f>
        <v>5880</v>
      </c>
      <c r="T12" s="38">
        <f>1426/31*28</f>
        <v>1288</v>
      </c>
      <c r="U12" s="38">
        <f>775/31*28</f>
        <v>700</v>
      </c>
      <c r="V12" s="38">
        <v>12992</v>
      </c>
      <c r="W12" s="38">
        <f>1798/31*28</f>
        <v>1624</v>
      </c>
      <c r="X12" s="38">
        <f>1240/31*28</f>
        <v>1120</v>
      </c>
      <c r="Z12" s="38"/>
      <c r="AA12" s="38"/>
      <c r="AB12" s="38">
        <f>5580/31*28</f>
        <v>5040</v>
      </c>
      <c r="AC12" s="38">
        <f>12183/31*28</f>
        <v>11004</v>
      </c>
      <c r="AD12" s="38">
        <f>403/31*28</f>
        <v>364</v>
      </c>
      <c r="AE12" s="38">
        <v>7028</v>
      </c>
      <c r="AF12" s="38">
        <f>1860/31*28</f>
        <v>1680</v>
      </c>
      <c r="AG12" s="38"/>
      <c r="AH12" s="38">
        <v>1428</v>
      </c>
      <c r="AI12" s="38">
        <v>4956</v>
      </c>
      <c r="AJ12" s="38">
        <f>1054/31*28</f>
        <v>952</v>
      </c>
      <c r="AK12" s="5">
        <f>SUM(B12:AJ12)</f>
        <v>83522.193548387091</v>
      </c>
      <c r="AL12">
        <f>+AB12+Q12+V12+AC12+AE12+AG12+S12</f>
        <v>49392</v>
      </c>
      <c r="AM12" s="20">
        <f>+C12+E12+I12+N12+P12+R12+X12+D12+AI12+W12+AF12</f>
        <v>21028</v>
      </c>
      <c r="AN12">
        <f>+B12+F12+O12+Y12+AD12+AJ12+AH12+K12+L12+U12+T12+Z12+AA12+M12+J12+H12+G12</f>
        <v>13102.193548387097</v>
      </c>
      <c r="AO12">
        <f>+P12+U12+X12+AJ12+N12+I12+F12</f>
        <v>12880</v>
      </c>
      <c r="AP12" s="20">
        <f>+B12+C12+J12+K12+L12+O12+Q12+R12+V12+Y12+AB12+AC12+AD12+AE12+AG12+AH12+S12+D12+AI12+W12+M12+E12+G12+AF12</f>
        <v>68962.193548387091</v>
      </c>
      <c r="AQ12">
        <f>+AA12+Z12+T12+H12</f>
        <v>1680</v>
      </c>
      <c r="AR12">
        <f>+AL12+AM12+AN12</f>
        <v>83522.193548387091</v>
      </c>
      <c r="AS12">
        <f>+AL12+AM12+AN12</f>
        <v>83522.193548387091</v>
      </c>
      <c r="AT12">
        <f>+AQ12+AP12+AO12</f>
        <v>83522.193548387091</v>
      </c>
    </row>
    <row r="13" spans="1:46" x14ac:dyDescent="0.2">
      <c r="A13" t="s">
        <v>2</v>
      </c>
      <c r="B13" s="38">
        <v>208</v>
      </c>
      <c r="C13" s="38">
        <v>475</v>
      </c>
      <c r="D13" s="38"/>
      <c r="E13" s="38"/>
      <c r="F13" s="38">
        <f>+F12*0.8</f>
        <v>2441.6</v>
      </c>
      <c r="G13" s="38">
        <v>375</v>
      </c>
      <c r="H13" s="38">
        <v>240</v>
      </c>
      <c r="I13" s="38">
        <f>+I12*0.778</f>
        <v>1786.288</v>
      </c>
      <c r="J13" s="38">
        <f>+J12*0.95</f>
        <v>1516.1999999999998</v>
      </c>
      <c r="K13" s="38">
        <v>976</v>
      </c>
      <c r="L13" s="38">
        <f>+L12*0.75</f>
        <v>546</v>
      </c>
      <c r="M13" s="38"/>
      <c r="N13" s="38">
        <v>1619</v>
      </c>
      <c r="O13" s="38">
        <v>405</v>
      </c>
      <c r="P13" s="38">
        <v>2674</v>
      </c>
      <c r="Q13" s="38">
        <f>+Q12*0.166</f>
        <v>1236.3680000000002</v>
      </c>
      <c r="R13" s="38">
        <f>+R12*0.572</f>
        <v>1777.7759999999998</v>
      </c>
      <c r="S13" s="38">
        <f>+S12*0.512</f>
        <v>3010.56</v>
      </c>
      <c r="T13" s="38">
        <f>+T12*0.365</f>
        <v>470.12</v>
      </c>
      <c r="U13" s="38">
        <f>+U12*0.65</f>
        <v>455</v>
      </c>
      <c r="V13" s="38">
        <v>10321</v>
      </c>
      <c r="W13" s="38">
        <f>+W12*0.7</f>
        <v>1136.8</v>
      </c>
      <c r="X13" s="38">
        <f>+X12*0.727</f>
        <v>814.24</v>
      </c>
      <c r="Z13" s="38"/>
      <c r="AA13" s="38"/>
      <c r="AB13" s="38">
        <f>+AB12*0.9177</f>
        <v>4625.2079999999996</v>
      </c>
      <c r="AC13" s="38">
        <f>+AC12*0.935</f>
        <v>10288.74</v>
      </c>
      <c r="AD13" s="38">
        <v>318</v>
      </c>
      <c r="AE13" s="38">
        <v>5977</v>
      </c>
      <c r="AF13" s="38">
        <f>+AF12*0.657</f>
        <v>1103.76</v>
      </c>
      <c r="AG13" s="38"/>
      <c r="AH13" s="38">
        <v>1161</v>
      </c>
      <c r="AI13" s="38">
        <v>4247</v>
      </c>
      <c r="AJ13" s="38">
        <f>+AJ12*0.7258</f>
        <v>690.96159999999998</v>
      </c>
      <c r="AK13" s="5">
        <f>SUM(B13:AJ13)</f>
        <v>60895.621600000006</v>
      </c>
      <c r="AL13">
        <f>+AB13+Q13+V13+AC13+AE13+AG13+S13</f>
        <v>35458.875999999997</v>
      </c>
      <c r="AM13" s="20">
        <f>+C13+E13+I13+N13+P13+R13+X13+D13+AI13+W13+AF13</f>
        <v>15633.864</v>
      </c>
      <c r="AN13">
        <f>+B13+F13+O13+Y13+AD13+AJ13+AH13+K13+L13+U13+T13+Z13+AA13+M13+J13+H13+G13</f>
        <v>9802.8816000000006</v>
      </c>
      <c r="AO13">
        <f>+P13+U13+X13+AJ13+N13+I13+F13</f>
        <v>10481.089599999999</v>
      </c>
      <c r="AP13" s="20">
        <f>+B13+C13+J13+K13+L13+O13+Q13+R13+V13+Y13+AB13+AC13+AD13+AE13+AG13+AH13+S13+D13+AI13+W13+M13+E13+G13+AF13</f>
        <v>49704.412000000004</v>
      </c>
      <c r="AQ13">
        <f>+AA13+Z13+T13+H13</f>
        <v>710.12</v>
      </c>
      <c r="AR13">
        <f>+AL13+AM13+AN13</f>
        <v>60895.621599999999</v>
      </c>
    </row>
    <row r="14" spans="1:46" x14ac:dyDescent="0.2">
      <c r="A14" t="s">
        <v>4</v>
      </c>
      <c r="B14" s="3">
        <f>+B13/B12</f>
        <v>0.53061224489795922</v>
      </c>
      <c r="C14" s="3">
        <f>+C13/C12</f>
        <v>0.32008086253369272</v>
      </c>
      <c r="D14" s="3"/>
      <c r="E14" s="3">
        <v>0</v>
      </c>
      <c r="F14" s="3">
        <f t="shared" ref="F14:X14" si="2">+F13/F12</f>
        <v>0.79999999999999993</v>
      </c>
      <c r="G14" s="3">
        <f t="shared" si="2"/>
        <v>0.78781512605042014</v>
      </c>
      <c r="H14" s="3">
        <f t="shared" si="2"/>
        <v>0.61224489795918369</v>
      </c>
      <c r="I14" s="3">
        <f t="shared" si="2"/>
        <v>0.77800000000000002</v>
      </c>
      <c r="J14" s="3">
        <f t="shared" si="2"/>
        <v>0.94999999999999984</v>
      </c>
      <c r="K14" s="3">
        <f t="shared" si="2"/>
        <v>0.91885325558794939</v>
      </c>
      <c r="L14" s="3">
        <f t="shared" si="2"/>
        <v>0.75</v>
      </c>
      <c r="M14" s="3" t="e">
        <f t="shared" si="2"/>
        <v>#DIV/0!</v>
      </c>
      <c r="N14" s="3">
        <f t="shared" si="2"/>
        <v>0.80307539682539686</v>
      </c>
      <c r="O14" s="3">
        <f t="shared" si="2"/>
        <v>0.6026785714285714</v>
      </c>
      <c r="P14" s="3">
        <f t="shared" si="2"/>
        <v>0.97448979591836737</v>
      </c>
      <c r="Q14" s="3">
        <f t="shared" si="2"/>
        <v>0.16600000000000001</v>
      </c>
      <c r="R14" s="3">
        <f t="shared" si="2"/>
        <v>0.57199999999999995</v>
      </c>
      <c r="S14" s="3">
        <f t="shared" si="2"/>
        <v>0.51200000000000001</v>
      </c>
      <c r="T14" s="3">
        <f t="shared" si="2"/>
        <v>0.36499999999999999</v>
      </c>
      <c r="U14" s="3">
        <f t="shared" si="2"/>
        <v>0.65</v>
      </c>
      <c r="V14" s="3">
        <f t="shared" si="2"/>
        <v>0.79441194581280783</v>
      </c>
      <c r="W14" s="3">
        <f t="shared" si="2"/>
        <v>0.7</v>
      </c>
      <c r="X14" s="3">
        <f t="shared" si="2"/>
        <v>0.72699999999999998</v>
      </c>
      <c r="Z14" s="3"/>
      <c r="AA14" s="3"/>
      <c r="AB14" s="3">
        <f t="shared" ref="AB14:AQ14" si="3">+AB13/AB12</f>
        <v>0.91769999999999996</v>
      </c>
      <c r="AC14" s="3">
        <f t="shared" si="3"/>
        <v>0.93499999999999994</v>
      </c>
      <c r="AD14" s="3">
        <f t="shared" si="3"/>
        <v>0.87362637362637363</v>
      </c>
      <c r="AE14" s="3">
        <f t="shared" si="3"/>
        <v>0.85045532157085946</v>
      </c>
      <c r="AF14" s="3">
        <f t="shared" si="3"/>
        <v>0.65700000000000003</v>
      </c>
      <c r="AG14" s="3"/>
      <c r="AH14" s="3">
        <f t="shared" si="3"/>
        <v>0.81302521008403361</v>
      </c>
      <c r="AI14" s="3">
        <f t="shared" si="3"/>
        <v>0.85694108151735271</v>
      </c>
      <c r="AJ14" s="3">
        <f t="shared" si="3"/>
        <v>0.7258</v>
      </c>
      <c r="AK14" s="6">
        <f t="shared" si="3"/>
        <v>0.72909509452384313</v>
      </c>
      <c r="AL14" s="3">
        <f t="shared" si="3"/>
        <v>0.71790727243278252</v>
      </c>
      <c r="AM14" s="3">
        <f t="shared" si="3"/>
        <v>0.74347840973939505</v>
      </c>
      <c r="AN14" s="3">
        <f t="shared" si="3"/>
        <v>0.74818629138681536</v>
      </c>
      <c r="AO14" s="3">
        <f t="shared" si="3"/>
        <v>0.81374919254658384</v>
      </c>
      <c r="AP14" s="3">
        <f t="shared" si="3"/>
        <v>0.72074870943780334</v>
      </c>
      <c r="AQ14" s="3">
        <f t="shared" si="3"/>
        <v>0.42269047619047617</v>
      </c>
    </row>
    <row r="15" spans="1:46" x14ac:dyDescent="0.2">
      <c r="A15" s="20"/>
      <c r="B15" s="20">
        <v>1</v>
      </c>
      <c r="C15" s="20">
        <v>1</v>
      </c>
      <c r="D15" s="20"/>
      <c r="E15" s="20"/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1</v>
      </c>
      <c r="M15" s="20"/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/>
      <c r="AH15" s="20">
        <v>1</v>
      </c>
      <c r="AI15" s="20">
        <v>1</v>
      </c>
      <c r="AJ15" s="20">
        <v>1</v>
      </c>
      <c r="AK15" s="19">
        <f>SUM(B15:AJ15)</f>
        <v>28</v>
      </c>
      <c r="AL15" s="20">
        <f>+AB15+Q15+V15+AC15+AE15+AG15+S15</f>
        <v>6</v>
      </c>
      <c r="AM15" s="20">
        <f>+C15+E15+I15+N15+P15+R15+X15+D15+AI15+W15+AF15</f>
        <v>9</v>
      </c>
      <c r="AN15" s="20">
        <f>+B15+F15+O15+Y15+AD15+AJ15+AH15+K15+L15+U15+T15+Z15+AA15+M15+J15+H15+G15</f>
        <v>13</v>
      </c>
      <c r="AO15" s="20">
        <f>+P15+U15+X15+AJ15+N15+I15+F15</f>
        <v>7</v>
      </c>
      <c r="AP15" s="20">
        <f>+B15+C15+J15+K15+L15+O15+Q15+R15+V15+Y15+AB15+AC15+AD15+AE15+AG15+AH15+S15+D15+AI15+W15+M15+E15+G15+AF15</f>
        <v>19</v>
      </c>
      <c r="AQ15" s="20">
        <f>+AA15+Z15+T15+H15</f>
        <v>2</v>
      </c>
    </row>
    <row r="16" spans="1:46" x14ac:dyDescent="0.2">
      <c r="I16" t="s">
        <v>15</v>
      </c>
      <c r="AJ16" t="s">
        <v>15</v>
      </c>
    </row>
    <row r="17" spans="1:45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Z17" s="1"/>
      <c r="AA17" s="1"/>
      <c r="AB17" s="1"/>
      <c r="AC17" s="1"/>
      <c r="AD17" s="1"/>
      <c r="AE17" s="1"/>
      <c r="AF17" s="1"/>
      <c r="AG17" s="1"/>
      <c r="AK17" s="5"/>
    </row>
    <row r="18" spans="1:45" x14ac:dyDescent="0.2">
      <c r="A18" t="s">
        <v>1</v>
      </c>
      <c r="B18" s="38">
        <v>434</v>
      </c>
      <c r="C18" s="38">
        <v>1643</v>
      </c>
      <c r="D18" s="38"/>
      <c r="E18" s="38"/>
      <c r="F18" s="38">
        <v>3379</v>
      </c>
      <c r="G18" s="38">
        <v>527</v>
      </c>
      <c r="H18" s="38">
        <v>434</v>
      </c>
      <c r="I18" s="38">
        <v>2542</v>
      </c>
      <c r="J18" s="38">
        <v>1767</v>
      </c>
      <c r="K18" s="38">
        <v>1178</v>
      </c>
      <c r="L18" s="38">
        <v>775</v>
      </c>
      <c r="M18" s="38">
        <v>434</v>
      </c>
      <c r="N18" s="38">
        <v>2232</v>
      </c>
      <c r="O18" s="38">
        <v>713</v>
      </c>
      <c r="P18" s="38">
        <v>3038</v>
      </c>
      <c r="Q18" s="38">
        <v>8246</v>
      </c>
      <c r="R18" s="38">
        <v>3441</v>
      </c>
      <c r="S18" s="38">
        <v>6510</v>
      </c>
      <c r="T18" s="38">
        <v>1426</v>
      </c>
      <c r="U18" s="38">
        <v>775</v>
      </c>
      <c r="V18" s="38">
        <v>14384</v>
      </c>
      <c r="W18" s="38">
        <v>1798</v>
      </c>
      <c r="X18" s="38">
        <f>+X19/0.7879</f>
        <v>1240.0050767863941</v>
      </c>
      <c r="Z18" s="38"/>
      <c r="AA18" s="38"/>
      <c r="AB18" s="38">
        <v>5580</v>
      </c>
      <c r="AC18" s="38">
        <v>12183</v>
      </c>
      <c r="AD18" s="38">
        <f>12*31</f>
        <v>372</v>
      </c>
      <c r="AE18" s="38">
        <v>7781</v>
      </c>
      <c r="AF18" s="38">
        <v>1860</v>
      </c>
      <c r="AG18" s="38"/>
      <c r="AH18" s="38">
        <v>1581</v>
      </c>
      <c r="AI18" s="38">
        <v>5487</v>
      </c>
      <c r="AJ18" s="38">
        <v>1054</v>
      </c>
      <c r="AK18" s="5">
        <f>SUM(B18:AJ18)</f>
        <v>92814.005076786387</v>
      </c>
      <c r="AL18">
        <f>+AB18+Q18+V18+AC18+AE18+AG18+S18</f>
        <v>54684</v>
      </c>
      <c r="AM18" s="20">
        <f>+C18+E18+I18+N18+P18+R18+X18+D18+AI18+W18+AF18</f>
        <v>23281.005076786394</v>
      </c>
      <c r="AN18">
        <f>+B18+F18+O18+Y18+AD18+AJ18+AH18+K18+L18+U18+T18+Z18+AA18+M18+J18+H18+G18</f>
        <v>14849</v>
      </c>
      <c r="AO18">
        <f>+P18+U18+X18+AJ18+N18+I18+F18</f>
        <v>14260.005076786394</v>
      </c>
      <c r="AP18" s="20">
        <f>+B18+C18+J18+K18+L18+O18+Q18+R18+V18+Y18+AB18+AC18+AD18+AE18+AG18+AH18+S18+D18+AI18+W18+M18+E18+G18+AF18</f>
        <v>76694</v>
      </c>
      <c r="AQ18">
        <f>+AA18+Z18+T18+H18</f>
        <v>1860</v>
      </c>
      <c r="AR18">
        <f>+AL18+AM18+AN18</f>
        <v>92814.005076786387</v>
      </c>
      <c r="AS18">
        <f>+AL18+AM18+AN18</f>
        <v>92814.005076786387</v>
      </c>
    </row>
    <row r="19" spans="1:45" x14ac:dyDescent="0.2">
      <c r="A19" t="s">
        <v>2</v>
      </c>
      <c r="B19" s="38">
        <v>148</v>
      </c>
      <c r="C19" s="38">
        <f>+C18*0.42</f>
        <v>690.06</v>
      </c>
      <c r="D19" s="38"/>
      <c r="E19" s="38"/>
      <c r="F19" s="38">
        <f>+F18*0.63</f>
        <v>2128.77</v>
      </c>
      <c r="G19" s="38">
        <v>279</v>
      </c>
      <c r="H19" s="38">
        <v>119</v>
      </c>
      <c r="I19" s="38">
        <f>+I18*0.729</f>
        <v>1853.1179999999999</v>
      </c>
      <c r="J19" s="38">
        <f>+J18*0.93</f>
        <v>1643.3100000000002</v>
      </c>
      <c r="K19" s="38">
        <f>+K18*0.94</f>
        <v>1107.32</v>
      </c>
      <c r="L19" s="38">
        <v>593</v>
      </c>
      <c r="M19" s="38">
        <v>74</v>
      </c>
      <c r="N19" s="38">
        <v>1533</v>
      </c>
      <c r="O19" s="38">
        <v>128</v>
      </c>
      <c r="P19" s="38">
        <v>2952</v>
      </c>
      <c r="Q19" s="38">
        <f>+Q18*0.67</f>
        <v>5524.8200000000006</v>
      </c>
      <c r="R19" s="38">
        <f>+R18*0.671</f>
        <v>2308.9110000000001</v>
      </c>
      <c r="S19" s="38">
        <f>+S18*0.831</f>
        <v>5409.8099999999995</v>
      </c>
      <c r="T19" s="38">
        <f>+T18*0.437</f>
        <v>623.16200000000003</v>
      </c>
      <c r="U19" s="38">
        <f>+U18*0.8</f>
        <v>620</v>
      </c>
      <c r="V19" s="38">
        <v>11572</v>
      </c>
      <c r="W19" s="38">
        <f>+W18*0.54</f>
        <v>970.92000000000007</v>
      </c>
      <c r="X19" s="38">
        <v>977</v>
      </c>
      <c r="Z19" s="38"/>
      <c r="AA19" s="38"/>
      <c r="AB19" s="38">
        <f>+AB18*0.8185</f>
        <v>4567.2300000000005</v>
      </c>
      <c r="AC19" s="38">
        <f>+AC18*0.95</f>
        <v>11573.85</v>
      </c>
      <c r="AD19" s="38">
        <v>229</v>
      </c>
      <c r="AE19" s="38">
        <v>7043</v>
      </c>
      <c r="AF19" s="38">
        <f>+AF18*0.663</f>
        <v>1233.18</v>
      </c>
      <c r="AG19" s="38"/>
      <c r="AH19" s="38">
        <v>1359</v>
      </c>
      <c r="AI19" s="38">
        <v>4919</v>
      </c>
      <c r="AJ19" s="38">
        <f>+AJ18*0.6382</f>
        <v>672.66279999999995</v>
      </c>
      <c r="AK19" s="5">
        <f>SUM(B19:AJ19)</f>
        <v>72852.123800000001</v>
      </c>
      <c r="AL19">
        <f>+AB19+Q19+V19+AC19+AE19+AG19+S19</f>
        <v>45690.71</v>
      </c>
      <c r="AM19" s="20">
        <f>+C19+E19+I19+N19+P19+R19+X19+D19+AI19+W19+AF19</f>
        <v>17437.188999999998</v>
      </c>
      <c r="AN19">
        <f>+B19+F19+O19+Y19+AD19+AJ19+AH19+K19+L19+U19+T19+Z19+AA19+M19+J19+H19+G19</f>
        <v>9724.2248</v>
      </c>
      <c r="AO19">
        <f>+P19+U19+X19+AJ19+N19+I19+F19</f>
        <v>10736.550800000001</v>
      </c>
      <c r="AP19" s="20">
        <f>+B19+C19+J19+K19+L19+O19+Q19+R19+V19+Y19+AB19+AC19+AD19+AE19+AG19+AH19+S19+D19+AI19+W19+M19+E19+G19+AF19</f>
        <v>61373.411</v>
      </c>
      <c r="AQ19">
        <f>+AA19+Z19+T19+H19</f>
        <v>742.16200000000003</v>
      </c>
      <c r="AR19">
        <f>+AL19+AM19+AN19</f>
        <v>72852.123800000001</v>
      </c>
      <c r="AS19">
        <f>+AL19+AM19+AN19</f>
        <v>72852.123800000001</v>
      </c>
    </row>
    <row r="20" spans="1:45" x14ac:dyDescent="0.2">
      <c r="A20" t="s">
        <v>4</v>
      </c>
      <c r="B20" s="3">
        <f>+B19/B18</f>
        <v>0.34101382488479265</v>
      </c>
      <c r="C20" s="3">
        <f>+C19/C18</f>
        <v>0.42</v>
      </c>
      <c r="D20" s="3"/>
      <c r="E20" s="3">
        <v>0</v>
      </c>
      <c r="F20" s="3">
        <f>+F19/F18</f>
        <v>0.63</v>
      </c>
      <c r="G20" s="3">
        <f>+G19/G18</f>
        <v>0.52941176470588236</v>
      </c>
      <c r="H20" s="3">
        <f t="shared" ref="H20:X20" si="4">+H19/H18</f>
        <v>0.27419354838709675</v>
      </c>
      <c r="I20" s="3">
        <f t="shared" si="4"/>
        <v>0.72899999999999998</v>
      </c>
      <c r="J20" s="3">
        <f t="shared" si="4"/>
        <v>0.93</v>
      </c>
      <c r="K20" s="3">
        <f t="shared" si="4"/>
        <v>0.94</v>
      </c>
      <c r="L20" s="3">
        <f t="shared" si="4"/>
        <v>0.76516129032258062</v>
      </c>
      <c r="M20" s="3">
        <f t="shared" si="4"/>
        <v>0.17050691244239632</v>
      </c>
      <c r="N20" s="3">
        <f t="shared" si="4"/>
        <v>0.68682795698924726</v>
      </c>
      <c r="O20" s="3">
        <f t="shared" si="4"/>
        <v>0.17952314165497896</v>
      </c>
      <c r="P20" s="3">
        <f t="shared" si="4"/>
        <v>0.97169190256747862</v>
      </c>
      <c r="Q20" s="3">
        <f t="shared" si="4"/>
        <v>0.67</v>
      </c>
      <c r="R20" s="3">
        <f t="shared" si="4"/>
        <v>0.67100000000000004</v>
      </c>
      <c r="S20" s="3">
        <f t="shared" si="4"/>
        <v>0.83099999999999996</v>
      </c>
      <c r="T20" s="3">
        <f t="shared" si="4"/>
        <v>0.437</v>
      </c>
      <c r="U20" s="3">
        <f t="shared" si="4"/>
        <v>0.8</v>
      </c>
      <c r="V20" s="3">
        <f t="shared" si="4"/>
        <v>0.80450500556173521</v>
      </c>
      <c r="W20" s="3">
        <f t="shared" si="4"/>
        <v>0.54</v>
      </c>
      <c r="X20" s="3">
        <f t="shared" si="4"/>
        <v>0.78790000000000004</v>
      </c>
      <c r="Z20" s="3"/>
      <c r="AA20" s="38"/>
      <c r="AB20" s="3">
        <f t="shared" ref="AB20:AQ20" si="5">+AB19/AB18</f>
        <v>0.81850000000000012</v>
      </c>
      <c r="AC20" s="3">
        <f t="shared" si="5"/>
        <v>0.95000000000000007</v>
      </c>
      <c r="AD20" s="3">
        <f t="shared" si="5"/>
        <v>0.61559139784946237</v>
      </c>
      <c r="AE20" s="3">
        <f t="shared" si="5"/>
        <v>0.90515357923146122</v>
      </c>
      <c r="AF20" s="3">
        <f t="shared" si="5"/>
        <v>0.66300000000000003</v>
      </c>
      <c r="AG20" s="3"/>
      <c r="AH20" s="3">
        <f t="shared" si="5"/>
        <v>0.85958254269449719</v>
      </c>
      <c r="AI20" s="3">
        <f t="shared" si="5"/>
        <v>0.89648259522507745</v>
      </c>
      <c r="AJ20" s="3">
        <f t="shared" si="5"/>
        <v>0.63819999999999999</v>
      </c>
      <c r="AK20" s="6">
        <f t="shared" si="5"/>
        <v>0.78492597900207384</v>
      </c>
      <c r="AL20" s="3">
        <f t="shared" si="5"/>
        <v>0.83554074317899196</v>
      </c>
      <c r="AM20" s="3">
        <f t="shared" si="5"/>
        <v>0.7489878096967002</v>
      </c>
      <c r="AN20" s="3">
        <f t="shared" si="5"/>
        <v>0.65487405212472216</v>
      </c>
      <c r="AO20" s="3">
        <f t="shared" si="5"/>
        <v>0.75291353279234374</v>
      </c>
      <c r="AP20" s="3">
        <f t="shared" si="5"/>
        <v>0.80023745012647662</v>
      </c>
      <c r="AQ20" s="3">
        <f t="shared" si="5"/>
        <v>0.39901182795698925</v>
      </c>
    </row>
    <row r="21" spans="1:45" x14ac:dyDescent="0.2">
      <c r="A21" s="20"/>
      <c r="B21" s="20">
        <v>1</v>
      </c>
      <c r="C21" s="20">
        <v>1</v>
      </c>
      <c r="D21" s="20"/>
      <c r="E21" s="20"/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Z21" s="20"/>
      <c r="AA21" s="38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/>
      <c r="AH21" s="20">
        <v>1</v>
      </c>
      <c r="AI21" s="20">
        <v>1</v>
      </c>
      <c r="AJ21" s="20">
        <v>1</v>
      </c>
      <c r="AK21" s="19">
        <f>SUM(B21:AJ21)</f>
        <v>29</v>
      </c>
      <c r="AL21" s="20">
        <f>+AB21+Q21+V21+AC21+AE21+AG21+S21</f>
        <v>6</v>
      </c>
      <c r="AM21" s="20">
        <f>+C21+E21+I21+N21+P21+R21+X21+D21+AI21+W21+AF21</f>
        <v>9</v>
      </c>
      <c r="AN21" s="20">
        <f>+B21+F21+O21+Y21+AD21+AJ21+AH21+K21+L21+U21+T21+Z21+AA21+M21+J21+H21+G21</f>
        <v>14</v>
      </c>
      <c r="AO21" s="20">
        <f>+P21+U21+X21+AJ21+N21+I21+F21</f>
        <v>7</v>
      </c>
      <c r="AP21" s="20">
        <f>+B21+C21+J21+K21+L21+O21+Q21+R21+V21+Y21+AB21+AC21+AD21+AE21+AG21+AH21+S21+D21+AI21+W21+M21+E21+G21+AF21</f>
        <v>20</v>
      </c>
      <c r="AQ21" s="20">
        <f>+AA21+Z21+T21+H21</f>
        <v>2</v>
      </c>
    </row>
    <row r="22" spans="1:45" x14ac:dyDescent="0.2">
      <c r="B22" s="38"/>
    </row>
    <row r="23" spans="1:45" x14ac:dyDescent="0.2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B23" s="1"/>
      <c r="AC23" s="1"/>
      <c r="AD23" s="1"/>
      <c r="AE23" s="1"/>
      <c r="AF23" s="1"/>
      <c r="AG23" s="1"/>
      <c r="AK23" s="5"/>
    </row>
    <row r="24" spans="1:45" x14ac:dyDescent="0.2">
      <c r="A24" t="s">
        <v>1</v>
      </c>
      <c r="B24" s="38">
        <f>434/31*30</f>
        <v>420</v>
      </c>
      <c r="C24" s="38">
        <f>1643/31*30</f>
        <v>1590</v>
      </c>
      <c r="D24" s="38"/>
      <c r="E24" s="38"/>
      <c r="F24" s="38">
        <f>3379/31*30</f>
        <v>3270</v>
      </c>
      <c r="G24" s="38">
        <f>527/31*30</f>
        <v>510</v>
      </c>
      <c r="H24" s="38">
        <v>510</v>
      </c>
      <c r="I24" s="38">
        <v>2627</v>
      </c>
      <c r="J24" s="38">
        <f>1767/31*30</f>
        <v>1710</v>
      </c>
      <c r="K24" s="38">
        <f>1178/31*30</f>
        <v>1140</v>
      </c>
      <c r="L24" s="38">
        <f>775/31*30</f>
        <v>750</v>
      </c>
      <c r="M24" s="38"/>
      <c r="N24" s="38">
        <v>2160</v>
      </c>
      <c r="O24" s="38">
        <v>780</v>
      </c>
      <c r="P24" s="38">
        <v>2940</v>
      </c>
      <c r="Q24" s="38">
        <f>8246/31*30</f>
        <v>7980</v>
      </c>
      <c r="R24" s="38">
        <f>3441/31*30</f>
        <v>3330</v>
      </c>
      <c r="S24" s="38">
        <f>6510/31*30</f>
        <v>6300</v>
      </c>
      <c r="T24" s="38">
        <f>1426/31*30</f>
        <v>1380</v>
      </c>
      <c r="U24" s="38">
        <f>775/31*30</f>
        <v>750</v>
      </c>
      <c r="V24" s="38">
        <v>13920</v>
      </c>
      <c r="W24" s="38">
        <v>1740</v>
      </c>
      <c r="X24" s="38">
        <f>1240/31*30</f>
        <v>1200</v>
      </c>
      <c r="Y24" s="38"/>
      <c r="Z24" s="38"/>
      <c r="AB24" s="38">
        <f>5580/31*30</f>
        <v>5400</v>
      </c>
      <c r="AC24" s="38">
        <v>11790</v>
      </c>
      <c r="AD24" s="38">
        <v>360</v>
      </c>
      <c r="AE24" s="38">
        <v>7440</v>
      </c>
      <c r="AF24" s="38">
        <f>1860/31*30</f>
        <v>1800</v>
      </c>
      <c r="AG24" s="38"/>
      <c r="AH24" s="38">
        <v>1530</v>
      </c>
      <c r="AI24" s="38">
        <v>5310</v>
      </c>
      <c r="AJ24" s="38">
        <f>1054/31*30</f>
        <v>1020</v>
      </c>
      <c r="AK24" s="5">
        <f>SUM(B24:AJ24)</f>
        <v>89657</v>
      </c>
      <c r="AL24">
        <f>+AB24+Q24+V24+AC24+AE24+AG24+S24</f>
        <v>52830</v>
      </c>
      <c r="AM24" s="20">
        <f>+C24+E24+I24+N24+P24+R24+X24+D24+AI24+W24+AF24</f>
        <v>22697</v>
      </c>
      <c r="AN24">
        <f>+B24+F24+O24+Y24+AD24+AJ24+AH24+K24+L24+U24+T24+Z24+AA24+M24+J24+H24+G24</f>
        <v>14130</v>
      </c>
      <c r="AO24">
        <f>+P24+U24+X24+AJ24+N24+I24+F24</f>
        <v>13967</v>
      </c>
      <c r="AP24" s="20">
        <f>+B24+C24+J24+K24+L24+O24+Q24+R24+V24+Y24+AB24+AC24+AD24+AE24+AG24+AH24+S24+D24+AI24+W24+M24+E24+G24+AF24</f>
        <v>73800</v>
      </c>
      <c r="AQ24">
        <f>+AA24+Z24+T24+H24</f>
        <v>1890</v>
      </c>
      <c r="AR24">
        <f>+AL24+AM24+AN24</f>
        <v>89657</v>
      </c>
    </row>
    <row r="25" spans="1:45" x14ac:dyDescent="0.2">
      <c r="A25" t="s">
        <v>2</v>
      </c>
      <c r="B25" s="38">
        <v>260</v>
      </c>
      <c r="C25" s="38">
        <v>668</v>
      </c>
      <c r="D25" s="38"/>
      <c r="E25" s="38"/>
      <c r="F25" s="38">
        <f>+F24*0.61</f>
        <v>1994.7</v>
      </c>
      <c r="G25" s="38">
        <v>295</v>
      </c>
      <c r="H25" s="38">
        <v>223</v>
      </c>
      <c r="I25" s="38">
        <f>+I24*0.788</f>
        <v>2070.076</v>
      </c>
      <c r="J25" s="38">
        <f>+J24*0.87</f>
        <v>1487.7</v>
      </c>
      <c r="K25" s="38">
        <v>867</v>
      </c>
      <c r="L25" s="38">
        <v>488</v>
      </c>
      <c r="M25" s="38"/>
      <c r="N25" s="38">
        <v>1161</v>
      </c>
      <c r="O25" s="38">
        <v>215</v>
      </c>
      <c r="P25" s="38">
        <v>2526</v>
      </c>
      <c r="Q25" s="38">
        <f>+Q24*0.189</f>
        <v>1508.22</v>
      </c>
      <c r="R25" s="38">
        <f>+R24*0.288</f>
        <v>959.04</v>
      </c>
      <c r="S25" s="38">
        <f>+S24*0.361</f>
        <v>2274.2999999999997</v>
      </c>
      <c r="T25" s="38">
        <f>+T24*0.397</f>
        <v>547.86</v>
      </c>
      <c r="U25" s="38">
        <f>+U24*0.79</f>
        <v>592.5</v>
      </c>
      <c r="V25" s="38">
        <v>7515</v>
      </c>
      <c r="W25" s="38">
        <f>+W24*0.48</f>
        <v>835.19999999999993</v>
      </c>
      <c r="X25" s="38">
        <v>880</v>
      </c>
      <c r="Y25" s="38"/>
      <c r="Z25" s="38"/>
      <c r="AB25" s="38">
        <f>+AB24*0.7743</f>
        <v>4181.22</v>
      </c>
      <c r="AC25" s="38">
        <f>+AC24*0.925</f>
        <v>10905.75</v>
      </c>
      <c r="AD25" s="38">
        <v>203</v>
      </c>
      <c r="AE25" s="38">
        <v>5185</v>
      </c>
      <c r="AF25" s="38">
        <v>984</v>
      </c>
      <c r="AG25" s="38"/>
      <c r="AH25" s="38">
        <v>1263</v>
      </c>
      <c r="AI25" s="38">
        <v>3994</v>
      </c>
      <c r="AJ25" s="38">
        <f>+AJ24*0.5869</f>
        <v>598.63799999999992</v>
      </c>
      <c r="AK25" s="5">
        <f>SUM(B25:AJ25)</f>
        <v>54682.203999999998</v>
      </c>
      <c r="AL25">
        <f>+AB25+Q25+V25+AC25+AE25+AG25+S25</f>
        <v>31569.49</v>
      </c>
      <c r="AM25" s="20">
        <f>+C25+E25+I25+N25+P25+R25+X25+D25+AI25+W25+AF25</f>
        <v>14077.316000000001</v>
      </c>
      <c r="AN25">
        <f>+B25+F25+O25+Y25+AD25+AJ25+AH25+K25+L25+U25+T25+Z25+AA25+M25+J25+H25+G25</f>
        <v>9035.3979999999992</v>
      </c>
      <c r="AO25">
        <f>+P25+U25+X25+AJ25+N25+I25+F25</f>
        <v>9822.9140000000007</v>
      </c>
      <c r="AP25" s="20">
        <f>+B25+C25+J25+K25+L25+O25+Q25+R25+V25+Y25+AB25+AC25+AD25+AE25+AG25+AH25+S25+D25+AI25+W25+M25+E25+G25+AF25</f>
        <v>44088.43</v>
      </c>
      <c r="AQ25">
        <f>+AA25+Z25+T25+H25</f>
        <v>770.86</v>
      </c>
      <c r="AR25">
        <f>+AL25+AM25+AN25</f>
        <v>54682.204000000005</v>
      </c>
    </row>
    <row r="26" spans="1:45" x14ac:dyDescent="0.2">
      <c r="A26" t="s">
        <v>4</v>
      </c>
      <c r="B26" s="3">
        <f>+B25/B24</f>
        <v>0.61904761904761907</v>
      </c>
      <c r="C26" s="3">
        <f>+C25/C24</f>
        <v>0.42012578616352203</v>
      </c>
      <c r="D26" s="3"/>
      <c r="E26" s="3">
        <v>0</v>
      </c>
      <c r="F26" s="3">
        <f>+F25/F24</f>
        <v>0.61</v>
      </c>
      <c r="G26" s="3">
        <f>+G25/G24</f>
        <v>0.57843137254901966</v>
      </c>
      <c r="H26" s="3">
        <f t="shared" ref="H26:X26" si="6">+H25/H24</f>
        <v>0.43725490196078431</v>
      </c>
      <c r="I26" s="3">
        <f t="shared" si="6"/>
        <v>0.78800000000000003</v>
      </c>
      <c r="J26" s="3">
        <f t="shared" si="6"/>
        <v>0.87</v>
      </c>
      <c r="K26" s="3">
        <f t="shared" si="6"/>
        <v>0.76052631578947372</v>
      </c>
      <c r="L26" s="3">
        <f t="shared" si="6"/>
        <v>0.65066666666666662</v>
      </c>
      <c r="M26" s="3" t="e">
        <f t="shared" si="6"/>
        <v>#DIV/0!</v>
      </c>
      <c r="N26" s="3">
        <f t="shared" si="6"/>
        <v>0.53749999999999998</v>
      </c>
      <c r="O26" s="3">
        <f>+O25/O24</f>
        <v>0.27564102564102566</v>
      </c>
      <c r="P26" s="3">
        <f t="shared" si="6"/>
        <v>0.85918367346938773</v>
      </c>
      <c r="Q26" s="3">
        <f>+Q25/Q24</f>
        <v>0.189</v>
      </c>
      <c r="R26" s="3">
        <f t="shared" si="6"/>
        <v>0.28799999999999998</v>
      </c>
      <c r="S26" s="3">
        <f t="shared" si="6"/>
        <v>0.36099999999999993</v>
      </c>
      <c r="T26" s="3">
        <f t="shared" si="6"/>
        <v>0.39700000000000002</v>
      </c>
      <c r="U26" s="3">
        <f t="shared" si="6"/>
        <v>0.79</v>
      </c>
      <c r="V26" s="3">
        <f t="shared" si="6"/>
        <v>0.53987068965517238</v>
      </c>
      <c r="W26" s="3">
        <f t="shared" si="6"/>
        <v>0.48</v>
      </c>
      <c r="X26" s="3">
        <f t="shared" si="6"/>
        <v>0.73333333333333328</v>
      </c>
      <c r="Y26" s="3"/>
      <c r="Z26" s="3"/>
      <c r="AB26" s="3">
        <f t="shared" ref="AB26:AQ26" si="7">+AB25/AB24</f>
        <v>0.7743000000000001</v>
      </c>
      <c r="AC26" s="3">
        <f t="shared" si="7"/>
        <v>0.92500000000000004</v>
      </c>
      <c r="AD26" s="3">
        <f t="shared" si="7"/>
        <v>0.56388888888888888</v>
      </c>
      <c r="AE26" s="3">
        <f t="shared" si="7"/>
        <v>0.69690860215053763</v>
      </c>
      <c r="AF26" s="3">
        <f t="shared" si="7"/>
        <v>0.54666666666666663</v>
      </c>
      <c r="AG26" s="3"/>
      <c r="AH26" s="3">
        <f t="shared" si="7"/>
        <v>0.82549019607843133</v>
      </c>
      <c r="AI26" s="3">
        <f t="shared" si="7"/>
        <v>0.75216572504708101</v>
      </c>
      <c r="AJ26" s="3">
        <f t="shared" si="7"/>
        <v>0.58689999999999987</v>
      </c>
      <c r="AK26" s="6">
        <f t="shared" si="7"/>
        <v>0.60990445810143101</v>
      </c>
      <c r="AL26" s="3">
        <f t="shared" si="7"/>
        <v>0.59756748059814502</v>
      </c>
      <c r="AM26" s="3">
        <f t="shared" si="7"/>
        <v>0.62022804775961582</v>
      </c>
      <c r="AN26" s="3">
        <f t="shared" si="7"/>
        <v>0.63944784147204525</v>
      </c>
      <c r="AO26" s="3">
        <f t="shared" si="7"/>
        <v>0.70329447984534976</v>
      </c>
      <c r="AP26" s="3">
        <f t="shared" si="7"/>
        <v>0.59740420054200538</v>
      </c>
      <c r="AQ26" s="3">
        <f t="shared" si="7"/>
        <v>0.40786243386243387</v>
      </c>
    </row>
    <row r="27" spans="1:45" x14ac:dyDescent="0.2">
      <c r="A27" s="20"/>
      <c r="B27" s="20">
        <v>1</v>
      </c>
      <c r="C27" s="20">
        <v>1</v>
      </c>
      <c r="D27" s="20"/>
      <c r="E27" s="20"/>
      <c r="F27" s="20">
        <v>1</v>
      </c>
      <c r="G27" s="20">
        <v>1</v>
      </c>
      <c r="H27" s="20">
        <v>1</v>
      </c>
      <c r="I27" s="20">
        <v>1</v>
      </c>
      <c r="J27" s="20">
        <v>1</v>
      </c>
      <c r="K27" s="20">
        <v>1</v>
      </c>
      <c r="L27" s="20">
        <v>1</v>
      </c>
      <c r="M27" s="20"/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/>
      <c r="Z27" s="20"/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/>
      <c r="AH27" s="20">
        <v>1</v>
      </c>
      <c r="AI27" s="20">
        <v>1</v>
      </c>
      <c r="AJ27" s="20">
        <v>1</v>
      </c>
      <c r="AK27" s="19">
        <f>SUM(B27:AJ27)</f>
        <v>28</v>
      </c>
      <c r="AL27" s="20">
        <f>+AB27+Q27+V27+AC27+AE27+AG27+S27</f>
        <v>6</v>
      </c>
      <c r="AM27" s="20">
        <f>+C27+E27+I27+N27+P27+R27+X27+D27+AI27+W27+AF27</f>
        <v>9</v>
      </c>
      <c r="AN27" s="20">
        <f>+B27+F27+O27+Y27+AD27+AJ27+AH27+K27+L27+U27+T27+Z27+AA27+M27+J27+H27+G27</f>
        <v>13</v>
      </c>
      <c r="AO27" s="20">
        <f>+P27+U27+X27+AJ27+N27+I27+F27</f>
        <v>7</v>
      </c>
      <c r="AP27" s="20">
        <f>+B27+C27+J27+K27+L27+O27+Q27+R27+V27+Y27+AB27+AC27+AD27+AE27+AG27+AH27+S27+D27+AI27+W27+M27+E27+G27+AF27</f>
        <v>19</v>
      </c>
      <c r="AQ27" s="20">
        <f>+AA27+Z27+T27+H27</f>
        <v>2</v>
      </c>
    </row>
    <row r="29" spans="1:45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B29" s="1"/>
      <c r="AC29" s="1"/>
      <c r="AD29" s="1"/>
      <c r="AE29" s="1"/>
      <c r="AF29" s="1"/>
      <c r="AG29" s="1"/>
      <c r="AK29" s="5"/>
    </row>
    <row r="30" spans="1:45" x14ac:dyDescent="0.2">
      <c r="A30" t="s">
        <v>1</v>
      </c>
      <c r="B30" s="38">
        <v>434</v>
      </c>
      <c r="C30" s="38">
        <v>1643</v>
      </c>
      <c r="D30" s="38"/>
      <c r="E30" s="38"/>
      <c r="F30" s="38">
        <v>3379</v>
      </c>
      <c r="G30" s="38">
        <v>527</v>
      </c>
      <c r="H30" s="38">
        <v>488</v>
      </c>
      <c r="I30" s="38">
        <v>2542</v>
      </c>
      <c r="J30" s="38">
        <v>1767</v>
      </c>
      <c r="K30" s="38">
        <v>1178</v>
      </c>
      <c r="L30" s="38">
        <v>775</v>
      </c>
      <c r="M30" s="38">
        <v>434</v>
      </c>
      <c r="N30" s="38">
        <v>2232</v>
      </c>
      <c r="O30" s="38">
        <v>341</v>
      </c>
      <c r="P30" s="38">
        <v>3038</v>
      </c>
      <c r="Q30" s="38">
        <v>8246</v>
      </c>
      <c r="R30" s="38">
        <v>3441</v>
      </c>
      <c r="S30" s="38">
        <v>6510</v>
      </c>
      <c r="T30" s="38">
        <v>1426</v>
      </c>
      <c r="U30" s="38">
        <v>775</v>
      </c>
      <c r="V30" s="38">
        <v>14384</v>
      </c>
      <c r="W30" s="38">
        <v>1798</v>
      </c>
      <c r="X30" s="38">
        <v>1240</v>
      </c>
      <c r="Y30" s="38"/>
      <c r="Z30" s="38"/>
      <c r="AA30" s="38"/>
      <c r="AB30" s="38">
        <v>5580</v>
      </c>
      <c r="AC30" s="38">
        <v>12183</v>
      </c>
      <c r="AD30" s="38">
        <v>372</v>
      </c>
      <c r="AE30" s="38">
        <v>7781</v>
      </c>
      <c r="AF30" s="38">
        <v>1860</v>
      </c>
      <c r="AG30" s="38"/>
      <c r="AH30" s="38">
        <v>1556</v>
      </c>
      <c r="AI30" s="38">
        <v>5487</v>
      </c>
      <c r="AJ30" s="38">
        <v>1054</v>
      </c>
      <c r="AK30" s="5">
        <f>SUM(B30:AJ30)</f>
        <v>92471</v>
      </c>
      <c r="AL30">
        <f>+AB30+Q30+V30+AC30+AE30+AG30+S30</f>
        <v>54684</v>
      </c>
      <c r="AM30" s="20">
        <f>+C30+E30+I30+N30+P30+R30+X30+D30+AI30+W30+AF30</f>
        <v>23281</v>
      </c>
      <c r="AN30">
        <f>+B30+F30+O30+Y30+AD30+AJ30+AH30+K30+L30+U30+T30+Z30+AA30+M30+J30+H30+G30</f>
        <v>14506</v>
      </c>
      <c r="AO30">
        <f>+P30+U30+X30+AJ30+N30+I30+F30</f>
        <v>14260</v>
      </c>
      <c r="AP30" s="20">
        <f>+B30+C30+J30+K30+L30+O30+Q30+R30+V30+Y30+AB30+AC30+AD30+AE30+AG30+AH30+S30+D30+AI30+W30+M30+E30+G30+AF30</f>
        <v>76297</v>
      </c>
      <c r="AQ30">
        <f>+AA30+Z30+T30+H30</f>
        <v>1914</v>
      </c>
      <c r="AR30">
        <f>+AL30+AM30+AN30</f>
        <v>92471</v>
      </c>
      <c r="AS30">
        <f>+AO30+AP30+AQ30</f>
        <v>92471</v>
      </c>
    </row>
    <row r="31" spans="1:45" x14ac:dyDescent="0.2">
      <c r="A31" t="s">
        <v>2</v>
      </c>
      <c r="B31" s="38">
        <v>83</v>
      </c>
      <c r="C31" s="38">
        <f>+C30*0.65</f>
        <v>1067.95</v>
      </c>
      <c r="D31" s="38"/>
      <c r="E31" s="38"/>
      <c r="F31" s="38">
        <f>+F30*0.63</f>
        <v>2128.77</v>
      </c>
      <c r="G31" s="38">
        <v>312</v>
      </c>
      <c r="H31" s="38">
        <v>39</v>
      </c>
      <c r="I31" s="38">
        <f>+I30*0.4782</f>
        <v>1215.5844</v>
      </c>
      <c r="J31" s="38">
        <f>+J30*0.94</f>
        <v>1660.98</v>
      </c>
      <c r="K31" s="38">
        <v>570</v>
      </c>
      <c r="L31" s="38">
        <v>469</v>
      </c>
      <c r="M31" s="38">
        <f>434-383</f>
        <v>51</v>
      </c>
      <c r="N31" s="38">
        <v>603</v>
      </c>
      <c r="O31" s="38">
        <v>43</v>
      </c>
      <c r="P31" s="38">
        <v>2835</v>
      </c>
      <c r="Q31" s="38">
        <f>+Q30*0.165</f>
        <v>1360.5900000000001</v>
      </c>
      <c r="R31" s="38">
        <f>+R30*0.355</f>
        <v>1221.5549999999998</v>
      </c>
      <c r="S31" s="38">
        <f>+S30*0.312</f>
        <v>2031.12</v>
      </c>
      <c r="T31" s="38">
        <f>+T30*0.274</f>
        <v>390.72400000000005</v>
      </c>
      <c r="U31" s="38">
        <f>+U30*0.7</f>
        <v>542.5</v>
      </c>
      <c r="V31" s="38">
        <v>4883</v>
      </c>
      <c r="W31" s="38">
        <f>+W30*0.25</f>
        <v>449.5</v>
      </c>
      <c r="X31" s="38">
        <f>+X30*0.68</f>
        <v>843.2</v>
      </c>
      <c r="Y31" s="38"/>
      <c r="Z31" s="38"/>
      <c r="AA31" s="38"/>
      <c r="AB31" s="38">
        <f>+AB30*0.7127</f>
        <v>3976.866</v>
      </c>
      <c r="AC31" s="38">
        <f>+AC30*0.914</f>
        <v>11135.262000000001</v>
      </c>
      <c r="AD31" s="38">
        <v>172</v>
      </c>
      <c r="AE31" s="38">
        <v>4140</v>
      </c>
      <c r="AF31" s="38">
        <f>+AF30*0.395</f>
        <v>734.7</v>
      </c>
      <c r="AG31" s="38"/>
      <c r="AH31" s="38">
        <v>1278</v>
      </c>
      <c r="AI31" s="38">
        <v>3945</v>
      </c>
      <c r="AJ31" s="38">
        <f>+AJ30*0.2673</f>
        <v>281.73419999999999</v>
      </c>
      <c r="AK31" s="5">
        <f>SUM(B31:AJ31)</f>
        <v>48464.035599999996</v>
      </c>
      <c r="AL31">
        <f>+AB31+Q31+V31+AC31+AE31+AG31+S31</f>
        <v>27526.838</v>
      </c>
      <c r="AM31" s="20">
        <f>+C31+E31+I31+N31+P31+R31+X31+D31+AI31+W31+AF31</f>
        <v>12915.489400000002</v>
      </c>
      <c r="AN31">
        <f>+B31+F31+O31+Y31+AD31+AJ31+AH31+K31+L31+U31+T31+Z31+AA31+M31+J31+H31+G31</f>
        <v>8021.7081999999991</v>
      </c>
      <c r="AO31">
        <f>+P31+U31+X31+AJ31+N31+I31+F31</f>
        <v>8449.7885999999999</v>
      </c>
      <c r="AP31" s="20">
        <f>+B31+C31+J31+K31+L31+O31+Q31+R31+V31+Y31+AB31+AC31+AD31+AE31+AG31+AH31+S31+D31+AI31+W31+M31+E31+G31+AF31</f>
        <v>39584.523000000001</v>
      </c>
      <c r="AQ31">
        <f>+AA31+Z31+T31+H31</f>
        <v>429.72400000000005</v>
      </c>
      <c r="AR31">
        <f>+AL31+AM31+AN31</f>
        <v>48464.035600000003</v>
      </c>
      <c r="AS31">
        <f>+AO31+AP31+AQ31</f>
        <v>48464.035600000003</v>
      </c>
    </row>
    <row r="32" spans="1:45" x14ac:dyDescent="0.2">
      <c r="A32" t="s">
        <v>4</v>
      </c>
      <c r="B32" s="3">
        <f>+B31/B30</f>
        <v>0.19124423963133641</v>
      </c>
      <c r="C32" s="3">
        <f>+C31/C30</f>
        <v>0.65</v>
      </c>
      <c r="D32" s="3"/>
      <c r="E32" s="3">
        <v>0</v>
      </c>
      <c r="F32" s="3">
        <f t="shared" ref="F32:X32" si="8">+F31/F30</f>
        <v>0.63</v>
      </c>
      <c r="G32" s="3">
        <f t="shared" si="8"/>
        <v>0.59203036053130931</v>
      </c>
      <c r="H32" s="3">
        <f t="shared" si="8"/>
        <v>7.9918032786885251E-2</v>
      </c>
      <c r="I32" s="3">
        <f t="shared" si="8"/>
        <v>0.47819999999999996</v>
      </c>
      <c r="J32" s="3">
        <f t="shared" si="8"/>
        <v>0.94000000000000006</v>
      </c>
      <c r="K32" s="3">
        <f t="shared" si="8"/>
        <v>0.4838709677419355</v>
      </c>
      <c r="L32" s="3">
        <f t="shared" si="8"/>
        <v>0.60516129032258059</v>
      </c>
      <c r="M32" s="3">
        <f t="shared" si="8"/>
        <v>0.11751152073732719</v>
      </c>
      <c r="N32" s="3">
        <f t="shared" si="8"/>
        <v>0.27016129032258063</v>
      </c>
      <c r="O32" s="3">
        <f t="shared" si="8"/>
        <v>0.12609970674486803</v>
      </c>
      <c r="P32" s="3">
        <f t="shared" si="8"/>
        <v>0.93317972350230416</v>
      </c>
      <c r="Q32" s="3">
        <f t="shared" si="8"/>
        <v>0.16500000000000001</v>
      </c>
      <c r="R32" s="3">
        <f t="shared" si="8"/>
        <v>0.35499999999999993</v>
      </c>
      <c r="S32" s="3">
        <f t="shared" si="8"/>
        <v>0.312</v>
      </c>
      <c r="T32" s="3">
        <f t="shared" si="8"/>
        <v>0.27400000000000002</v>
      </c>
      <c r="U32" s="3">
        <f t="shared" si="8"/>
        <v>0.7</v>
      </c>
      <c r="V32" s="3">
        <f t="shared" si="8"/>
        <v>0.33947441601779754</v>
      </c>
      <c r="W32" s="3">
        <f t="shared" si="8"/>
        <v>0.25</v>
      </c>
      <c r="X32" s="3">
        <f t="shared" si="8"/>
        <v>0.68</v>
      </c>
      <c r="Y32" s="3"/>
      <c r="Z32" s="3"/>
      <c r="AB32" s="3">
        <f>+AB31/AB30</f>
        <v>0.7127</v>
      </c>
      <c r="AC32" s="3">
        <f>+AC31/AC30</f>
        <v>0.91400000000000003</v>
      </c>
      <c r="AD32" s="3">
        <f>+AD31/AD30</f>
        <v>0.46236559139784944</v>
      </c>
      <c r="AE32" s="3">
        <f>+AE31/AE30</f>
        <v>0.53206528723814417</v>
      </c>
      <c r="AF32" s="3">
        <f>+AF31/AF30</f>
        <v>0.39500000000000002</v>
      </c>
      <c r="AG32" s="3"/>
      <c r="AH32" s="3">
        <f t="shared" ref="AH32:AQ32" si="9">+AH31/AH30</f>
        <v>0.82133676092544983</v>
      </c>
      <c r="AI32" s="3">
        <f t="shared" si="9"/>
        <v>0.7189721159103335</v>
      </c>
      <c r="AJ32" s="3">
        <f t="shared" si="9"/>
        <v>0.26729999999999998</v>
      </c>
      <c r="AK32" s="6">
        <f t="shared" si="9"/>
        <v>0.52409983237988123</v>
      </c>
      <c r="AL32" s="3">
        <f t="shared" si="9"/>
        <v>0.50338011118425863</v>
      </c>
      <c r="AM32" s="3">
        <f t="shared" si="9"/>
        <v>0.55476523345217144</v>
      </c>
      <c r="AN32" s="3">
        <f t="shared" si="9"/>
        <v>0.55299243071832338</v>
      </c>
      <c r="AO32" s="3">
        <f t="shared" si="9"/>
        <v>0.59255179523141654</v>
      </c>
      <c r="AP32" s="3">
        <f t="shared" si="9"/>
        <v>0.51882148708337161</v>
      </c>
      <c r="AQ32" s="3">
        <f t="shared" si="9"/>
        <v>0.22451619644723095</v>
      </c>
    </row>
    <row r="33" spans="1:45" x14ac:dyDescent="0.2">
      <c r="A33" s="20"/>
      <c r="B33" s="20">
        <v>1</v>
      </c>
      <c r="C33" s="20">
        <v>1</v>
      </c>
      <c r="D33" s="20"/>
      <c r="E33" s="20"/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/>
      <c r="Z33" s="20"/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/>
      <c r="AH33" s="20">
        <v>1</v>
      </c>
      <c r="AI33" s="20">
        <v>1</v>
      </c>
      <c r="AJ33" s="20">
        <v>1</v>
      </c>
      <c r="AK33" s="19">
        <f>SUM(B33:AJ33)</f>
        <v>29</v>
      </c>
      <c r="AL33" s="20">
        <f>+AB33+Q33+V33+AC33+AE33+AG33+S33</f>
        <v>6</v>
      </c>
      <c r="AM33" s="20">
        <f>+C33+E33+I33+N33+P33+R33+X33+D33+AI33+W33+AF33</f>
        <v>9</v>
      </c>
      <c r="AN33" s="20">
        <f>+B33+F33+O33+Y33+AD33+AJ33+AH33+K33+L33+U33+T33+Z33+AA33+M33+J33+H33+G33</f>
        <v>14</v>
      </c>
      <c r="AO33" s="20">
        <f>+P33+U33+X33+AJ33+N33+I33+F33</f>
        <v>7</v>
      </c>
      <c r="AP33" s="20">
        <f>+B33+C33+J33+K33+L33+O33+Q33+R33+V33+Y33+AB33+AC33+AD33+AE33+AG33+AH33+S33+D33+AI33+W33+M33+E33+G33+AF33</f>
        <v>20</v>
      </c>
      <c r="AQ33" s="20">
        <f>+AA33+Z33+T33+H33</f>
        <v>2</v>
      </c>
    </row>
    <row r="34" spans="1:45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B34" s="20"/>
      <c r="AC34" s="20"/>
      <c r="AD34" s="20"/>
      <c r="AE34" s="20"/>
      <c r="AF34" s="20"/>
      <c r="AG34" s="20"/>
      <c r="AH34" s="20"/>
      <c r="AI34" s="20"/>
      <c r="AJ34" s="20"/>
      <c r="AK34" s="19"/>
      <c r="AL34" s="20"/>
      <c r="AM34" s="20"/>
      <c r="AN34" s="20"/>
      <c r="AO34" s="20"/>
      <c r="AP34" s="20"/>
      <c r="AQ34" s="20"/>
    </row>
    <row r="35" spans="1:45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B35" s="1"/>
      <c r="AC35" s="1"/>
      <c r="AD35" s="1"/>
      <c r="AE35" s="1"/>
      <c r="AF35" s="1"/>
      <c r="AG35" s="1"/>
      <c r="AK35" s="5"/>
    </row>
    <row r="36" spans="1:45" x14ac:dyDescent="0.2">
      <c r="A36" t="s">
        <v>1</v>
      </c>
      <c r="B36" s="38">
        <v>0</v>
      </c>
      <c r="C36" s="38">
        <v>1590</v>
      </c>
      <c r="D36" s="38"/>
      <c r="E36" s="38"/>
      <c r="F36" s="38">
        <v>3270</v>
      </c>
      <c r="G36" s="38">
        <v>510</v>
      </c>
      <c r="H36" s="38">
        <f>14*30</f>
        <v>420</v>
      </c>
      <c r="I36" s="38">
        <v>2460</v>
      </c>
      <c r="J36" s="38">
        <v>1710</v>
      </c>
      <c r="K36" s="38">
        <v>1140</v>
      </c>
      <c r="L36" s="38">
        <v>750</v>
      </c>
      <c r="M36" s="38"/>
      <c r="N36" s="38">
        <v>2160</v>
      </c>
      <c r="O36" s="38">
        <v>0</v>
      </c>
      <c r="P36" s="38">
        <v>2940</v>
      </c>
      <c r="Q36" s="38">
        <v>7980</v>
      </c>
      <c r="R36" s="38">
        <v>3330</v>
      </c>
      <c r="S36" s="38">
        <v>6300</v>
      </c>
      <c r="T36" s="38">
        <v>1380</v>
      </c>
      <c r="U36" s="38">
        <v>750</v>
      </c>
      <c r="V36" s="38">
        <v>13920</v>
      </c>
      <c r="W36" s="38">
        <v>1740</v>
      </c>
      <c r="X36" s="38">
        <f>+X37/0.608</f>
        <v>1266.4473684210527</v>
      </c>
      <c r="Y36" s="38"/>
      <c r="Z36" s="38"/>
      <c r="AA36" s="38"/>
      <c r="AB36" s="38">
        <v>5400</v>
      </c>
      <c r="AC36" s="38">
        <v>11790</v>
      </c>
      <c r="AD36" s="38">
        <v>360</v>
      </c>
      <c r="AE36" s="38">
        <v>7530</v>
      </c>
      <c r="AF36" s="38">
        <v>1800</v>
      </c>
      <c r="AG36" s="38"/>
      <c r="AH36" s="38">
        <v>1490</v>
      </c>
      <c r="AI36" s="38">
        <v>5310</v>
      </c>
      <c r="AJ36" s="38">
        <v>1020</v>
      </c>
      <c r="AK36" s="5">
        <f>SUM(B36:AJ36)</f>
        <v>88316.447368421053</v>
      </c>
      <c r="AL36">
        <f>+AB36+Q36+V36+AC36+AE36+AG36+S36</f>
        <v>52920</v>
      </c>
      <c r="AM36" s="20">
        <f>+C36+E36+I36+N36+P36+R36+X36+D36+AI36+W36+AF36</f>
        <v>22596.447368421053</v>
      </c>
      <c r="AN36">
        <f>+B36+F36+O36+Y36+AD36+AJ36+AH36+K36+L36+U36+T36+Z36+AA36+M36+J36+H36+G36</f>
        <v>12800</v>
      </c>
      <c r="AO36">
        <f>+P36+U36+X36+AJ36+N36+I36+F36</f>
        <v>13866.447368421053</v>
      </c>
      <c r="AP36" s="20">
        <f>+B36+C36+J36+K36+L36+O36+Q36+R36+V36+Y36+AB36+AC36+AD36+AE36+AG36+AH36+S36+D36+AI36+W36+M36+E36+G36+AF36</f>
        <v>72650</v>
      </c>
      <c r="AQ36">
        <f>+AA36+Z36+T36+H36</f>
        <v>1800</v>
      </c>
      <c r="AR36">
        <f>+AL36+AM36+AN36</f>
        <v>88316.447368421053</v>
      </c>
      <c r="AS36">
        <f>+AO36+AP36+AQ36</f>
        <v>88316.447368421053</v>
      </c>
    </row>
    <row r="37" spans="1:45" x14ac:dyDescent="0.2">
      <c r="A37" t="s">
        <v>2</v>
      </c>
      <c r="B37" s="38">
        <v>0</v>
      </c>
      <c r="C37" s="38">
        <f>+C36*0.71</f>
        <v>1128.8999999999999</v>
      </c>
      <c r="D37" s="38"/>
      <c r="E37" s="38"/>
      <c r="F37" s="38">
        <f>+F36*0.53</f>
        <v>1733.1000000000001</v>
      </c>
      <c r="G37" s="38">
        <v>311</v>
      </c>
      <c r="H37" s="38">
        <v>127</v>
      </c>
      <c r="I37" s="38">
        <v>733</v>
      </c>
      <c r="J37" s="38">
        <f>+J36*0.89</f>
        <v>1521.9</v>
      </c>
      <c r="K37" s="38">
        <v>758</v>
      </c>
      <c r="L37" s="38">
        <f>+L36*0.76</f>
        <v>570</v>
      </c>
      <c r="M37" s="38"/>
      <c r="N37" s="38">
        <v>437</v>
      </c>
      <c r="O37" s="38">
        <v>0</v>
      </c>
      <c r="P37" s="38">
        <v>2363</v>
      </c>
      <c r="Q37" s="38">
        <f>+Q36*0.133</f>
        <v>1061.3400000000001</v>
      </c>
      <c r="R37" s="38">
        <v>729</v>
      </c>
      <c r="S37" s="38">
        <f>+S36*0.33</f>
        <v>2079</v>
      </c>
      <c r="T37" s="38">
        <f>+T36*0.417</f>
        <v>575.45999999999992</v>
      </c>
      <c r="U37" s="38">
        <f>+U36*0.87</f>
        <v>652.5</v>
      </c>
      <c r="V37" s="38">
        <v>4925</v>
      </c>
      <c r="W37" s="38">
        <f>+W36*0.36</f>
        <v>626.4</v>
      </c>
      <c r="X37" s="38">
        <v>770</v>
      </c>
      <c r="Y37" s="38"/>
      <c r="Z37" s="38"/>
      <c r="AA37" s="38"/>
      <c r="AB37" s="38">
        <f>+AB36*0.5378</f>
        <v>2904.12</v>
      </c>
      <c r="AC37" s="38">
        <f>+AC36*0.925</f>
        <v>10905.75</v>
      </c>
      <c r="AD37" s="38">
        <v>152</v>
      </c>
      <c r="AE37" s="38">
        <v>3691</v>
      </c>
      <c r="AF37" s="38">
        <f>+AF36*0.467</f>
        <v>840.6</v>
      </c>
      <c r="AG37" s="38"/>
      <c r="AH37" s="38">
        <v>1218</v>
      </c>
      <c r="AI37" s="38">
        <v>3997</v>
      </c>
      <c r="AJ37" s="38">
        <f>+AJ36*0.456</f>
        <v>465.12</v>
      </c>
      <c r="AK37" s="5">
        <f>SUM(B37:AJ37)</f>
        <v>45275.19</v>
      </c>
      <c r="AL37">
        <f>+AB37+Q37+V37+AC37+AE37+AG37+S37</f>
        <v>25566.21</v>
      </c>
      <c r="AM37" s="20">
        <f>+C37+E37+I37+N37+P37+R37+X37+D37+AI37+W37+AF37</f>
        <v>11624.9</v>
      </c>
      <c r="AN37">
        <f>+B37+F37+O37+Y37+AD37+AJ37+AH37+K37+L37+U37+T37+Z37+AA37+M37+J37+H37+G37</f>
        <v>8084.08</v>
      </c>
      <c r="AO37">
        <f>+P37+U37+X37+AJ37+N37+I37+F37</f>
        <v>7153.72</v>
      </c>
      <c r="AP37" s="20">
        <f>+B37+C37+J37+K37+L37+O37+Q37+R37+V37+Y37+AB37+AC37+AD37+AE37+AG37+AH37+S37+D37+AI37+W37+M37+E37+G37+AF37</f>
        <v>37419.009999999995</v>
      </c>
      <c r="AQ37">
        <f>+AA37+Z37+T37+H37</f>
        <v>702.45999999999992</v>
      </c>
      <c r="AR37">
        <f>+AL37+AM37+AN37</f>
        <v>45275.19</v>
      </c>
      <c r="AS37">
        <f>+AO37+AP37+AQ37</f>
        <v>45275.189999999995</v>
      </c>
    </row>
    <row r="38" spans="1:45" x14ac:dyDescent="0.2">
      <c r="A38" t="s">
        <v>4</v>
      </c>
      <c r="B38" s="3">
        <v>0</v>
      </c>
      <c r="C38" s="3">
        <f>+C37/C36</f>
        <v>0.71</v>
      </c>
      <c r="D38" s="3"/>
      <c r="E38" s="3">
        <v>0</v>
      </c>
      <c r="F38" s="3">
        <f t="shared" ref="F38:N38" si="10">+F37/F36</f>
        <v>0.53</v>
      </c>
      <c r="G38" s="3">
        <f t="shared" si="10"/>
        <v>0.6098039215686275</v>
      </c>
      <c r="H38" s="3">
        <f t="shared" si="10"/>
        <v>0.30238095238095236</v>
      </c>
      <c r="I38" s="3">
        <f t="shared" si="10"/>
        <v>0.29796747967479675</v>
      </c>
      <c r="J38" s="3">
        <f t="shared" si="10"/>
        <v>0.89</v>
      </c>
      <c r="K38" s="3">
        <f t="shared" si="10"/>
        <v>0.66491228070175434</v>
      </c>
      <c r="L38" s="3">
        <f t="shared" si="10"/>
        <v>0.76</v>
      </c>
      <c r="M38" s="3">
        <v>0</v>
      </c>
      <c r="N38" s="3">
        <f t="shared" si="10"/>
        <v>0.20231481481481481</v>
      </c>
      <c r="O38" s="3">
        <v>0</v>
      </c>
      <c r="P38" s="3">
        <f t="shared" ref="P38:X38" si="11">+P37/P36</f>
        <v>0.80374149659863947</v>
      </c>
      <c r="Q38" s="3">
        <f t="shared" si="11"/>
        <v>0.13300000000000001</v>
      </c>
      <c r="R38" s="3">
        <f t="shared" si="11"/>
        <v>0.21891891891891893</v>
      </c>
      <c r="S38" s="3">
        <f t="shared" si="11"/>
        <v>0.33</v>
      </c>
      <c r="T38" s="3">
        <f t="shared" si="11"/>
        <v>0.41699999999999993</v>
      </c>
      <c r="U38" s="3">
        <f t="shared" si="11"/>
        <v>0.87</v>
      </c>
      <c r="V38" s="3">
        <f t="shared" si="11"/>
        <v>0.35380747126436779</v>
      </c>
      <c r="W38" s="3">
        <f t="shared" si="11"/>
        <v>0.36</v>
      </c>
      <c r="X38" s="3">
        <f t="shared" si="11"/>
        <v>0.60799999999999998</v>
      </c>
      <c r="Y38" s="3"/>
      <c r="Z38" s="3"/>
      <c r="AB38" s="3">
        <f>+AB37/AB36</f>
        <v>0.53779999999999994</v>
      </c>
      <c r="AC38" s="3">
        <f>+AC37/AC36</f>
        <v>0.92500000000000004</v>
      </c>
      <c r="AD38" s="3">
        <f>+AD37/AD36</f>
        <v>0.42222222222222222</v>
      </c>
      <c r="AE38" s="3">
        <f>+AE37/AE36</f>
        <v>0.49017264276228417</v>
      </c>
      <c r="AF38" s="3">
        <f>+AF37/AF36</f>
        <v>0.46700000000000003</v>
      </c>
      <c r="AG38" s="3"/>
      <c r="AH38" s="3">
        <f>+AH37/AH36</f>
        <v>0.81744966442953015</v>
      </c>
      <c r="AI38" s="3">
        <f>+AI37/AI36</f>
        <v>0.75273069679849336</v>
      </c>
      <c r="AJ38" s="3">
        <f>+AJ37/AJ36</f>
        <v>0.45600000000000002</v>
      </c>
      <c r="AK38" s="6">
        <f t="shared" ref="AK38:AQ38" si="12">+AK37/AK36</f>
        <v>0.51264731937336583</v>
      </c>
      <c r="AL38" s="3">
        <f t="shared" si="12"/>
        <v>0.48311054421768707</v>
      </c>
      <c r="AM38" s="3">
        <f t="shared" si="12"/>
        <v>0.5144569768186662</v>
      </c>
      <c r="AN38" s="3">
        <f t="shared" si="12"/>
        <v>0.63156875000000001</v>
      </c>
      <c r="AO38" s="3">
        <f t="shared" si="12"/>
        <v>0.5159014280969777</v>
      </c>
      <c r="AP38" s="3">
        <f t="shared" si="12"/>
        <v>0.51505863730213342</v>
      </c>
      <c r="AQ38" s="3">
        <f t="shared" si="12"/>
        <v>0.39025555555555552</v>
      </c>
    </row>
    <row r="39" spans="1:45" x14ac:dyDescent="0.2">
      <c r="A39" s="20"/>
      <c r="B39" s="20"/>
      <c r="C39" s="20">
        <v>1</v>
      </c>
      <c r="D39" s="20"/>
      <c r="E39" s="20"/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>
        <v>1</v>
      </c>
      <c r="L39" s="20">
        <v>1</v>
      </c>
      <c r="M39" s="20"/>
      <c r="N39" s="20">
        <v>1</v>
      </c>
      <c r="O39" s="20"/>
      <c r="P39" s="20">
        <v>1</v>
      </c>
      <c r="Q39" s="20">
        <v>1</v>
      </c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/>
      <c r="Z39" s="20"/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/>
      <c r="AH39" s="20">
        <v>1</v>
      </c>
      <c r="AI39" s="20">
        <v>1</v>
      </c>
      <c r="AJ39" s="20">
        <v>1</v>
      </c>
      <c r="AK39" s="19">
        <f>SUM(B39:AJ39)</f>
        <v>26</v>
      </c>
      <c r="AL39" s="20">
        <f>+AB39+Q39+V39+AC39+AE39+AG39+S39</f>
        <v>6</v>
      </c>
      <c r="AM39" s="20">
        <f>+C39+E39+I39+N39+P39+R39+X39+D39+AI39+W39+AF39</f>
        <v>9</v>
      </c>
      <c r="AN39" s="20">
        <f>+B39+F39+O39+Y39+AD39+AJ39+AH39+K39+L39+U39+T39+Z39+AA39+M39+J39+H39+G39</f>
        <v>11</v>
      </c>
      <c r="AO39" s="20">
        <f>+P39+U39+X39+AJ39+N39+I39+F39</f>
        <v>7</v>
      </c>
      <c r="AP39" s="20">
        <f>+B39+C39+J39+K39+L39+O39+Q39+R39+V39+Y39+AB39+AC39+AD39+AE39+AG39+AH39+S39+D39+AI39+W39+M39+E39+G39+AF39</f>
        <v>17</v>
      </c>
      <c r="AQ39" s="20">
        <f>+AA39+Z39+T39+H39</f>
        <v>2</v>
      </c>
    </row>
    <row r="40" spans="1:45" x14ac:dyDescent="0.2">
      <c r="I40" s="5"/>
    </row>
    <row r="41" spans="1:45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G41" s="1"/>
      <c r="AK41" s="5"/>
    </row>
    <row r="42" spans="1:45" x14ac:dyDescent="0.2">
      <c r="A42" t="s">
        <v>1</v>
      </c>
      <c r="B42" s="38">
        <v>0</v>
      </c>
      <c r="C42" s="38">
        <v>1643</v>
      </c>
      <c r="D42" s="38"/>
      <c r="E42" s="38"/>
      <c r="F42" s="38">
        <v>3379</v>
      </c>
      <c r="G42" s="38">
        <v>527</v>
      </c>
      <c r="H42" s="38">
        <v>488</v>
      </c>
      <c r="I42" s="38">
        <v>2542</v>
      </c>
      <c r="J42" s="38">
        <v>1767</v>
      </c>
      <c r="K42" s="38">
        <v>1178</v>
      </c>
      <c r="L42" s="38">
        <v>775</v>
      </c>
      <c r="M42" s="38">
        <f>14*31</f>
        <v>434</v>
      </c>
      <c r="N42" s="38">
        <f>2232/31*29</f>
        <v>2088</v>
      </c>
      <c r="O42" s="38">
        <v>0</v>
      </c>
      <c r="P42" s="38">
        <v>3038</v>
      </c>
      <c r="Q42" s="38">
        <v>8246</v>
      </c>
      <c r="R42" s="38">
        <v>3441</v>
      </c>
      <c r="S42" s="38">
        <v>6510</v>
      </c>
      <c r="T42" s="38">
        <v>1426</v>
      </c>
      <c r="U42" s="38">
        <v>775</v>
      </c>
      <c r="V42" s="38">
        <v>14384</v>
      </c>
      <c r="W42" s="38">
        <v>1798</v>
      </c>
      <c r="X42" s="38">
        <f>+X43/0.4879</f>
        <v>1240.0081984013118</v>
      </c>
      <c r="Y42" s="38"/>
      <c r="Z42" s="38"/>
      <c r="AA42" s="38"/>
      <c r="AB42" s="38">
        <v>5580</v>
      </c>
      <c r="AC42" s="38">
        <v>12183</v>
      </c>
      <c r="AD42" s="38">
        <v>403</v>
      </c>
      <c r="AE42" s="38">
        <v>7905</v>
      </c>
      <c r="AF42" s="38">
        <v>1860</v>
      </c>
      <c r="AG42" s="38"/>
      <c r="AH42" s="38">
        <v>1581</v>
      </c>
      <c r="AI42" s="38">
        <v>5487</v>
      </c>
      <c r="AJ42" s="38">
        <v>1054</v>
      </c>
      <c r="AK42" s="5">
        <f>SUM(B42:AJ42)</f>
        <v>91732.008198401309</v>
      </c>
      <c r="AL42">
        <f>+AB42+Q42+V42+AC42+AE42+AG42+S42</f>
        <v>54808</v>
      </c>
      <c r="AM42" s="20">
        <f>+C42+E42+I42+N42+P42+R42+X42+D42+AI42+W42+AF42</f>
        <v>23137.008198401312</v>
      </c>
      <c r="AN42">
        <f>+B42+F42+O42+Y42+AD42+AJ42+AH42+K42+L42+U42+T42+Z42+AA42+M42+J42+H42+G42</f>
        <v>13787</v>
      </c>
      <c r="AO42">
        <f>+P42+U42+X42+AJ42+N42+I42+F42</f>
        <v>14116.008198401312</v>
      </c>
      <c r="AP42" s="20">
        <f>+B42+C42+J42+K42+L42+O42+Q42+R42+V42+Y42+AB42+AC42+AD42+AE42+AG42+AH42+S42+D42+AI42+W42+M42+E42+G42+AF42</f>
        <v>75702</v>
      </c>
      <c r="AQ42">
        <f>+AA42+Z42+T42+H42</f>
        <v>1914</v>
      </c>
      <c r="AR42">
        <f>+AL42+AM42+AN42</f>
        <v>91732.008198401309</v>
      </c>
      <c r="AS42">
        <f>+AO42+AP42+AQ42</f>
        <v>91732.008198401309</v>
      </c>
    </row>
    <row r="43" spans="1:45" x14ac:dyDescent="0.2">
      <c r="A43" t="s">
        <v>2</v>
      </c>
      <c r="B43" s="38">
        <v>0</v>
      </c>
      <c r="C43" s="38">
        <f>+C42*0.66</f>
        <v>1084.3800000000001</v>
      </c>
      <c r="D43" s="38"/>
      <c r="E43" s="38"/>
      <c r="F43" s="38">
        <f>+F42*0.38</f>
        <v>1284.02</v>
      </c>
      <c r="G43" s="38">
        <f>+G42*0.616</f>
        <v>324.63200000000001</v>
      </c>
      <c r="H43" s="38">
        <v>78</v>
      </c>
      <c r="I43" s="38">
        <f>+I42*0.395</f>
        <v>1004.09</v>
      </c>
      <c r="J43" s="38">
        <f>+J42*0.9</f>
        <v>1590.3</v>
      </c>
      <c r="K43" s="38">
        <f>+K42*0.39</f>
        <v>459.42</v>
      </c>
      <c r="L43" s="38">
        <v>642</v>
      </c>
      <c r="M43" s="38">
        <v>20</v>
      </c>
      <c r="N43" s="38">
        <v>610</v>
      </c>
      <c r="O43" s="38">
        <v>0</v>
      </c>
      <c r="P43" s="38">
        <v>2411</v>
      </c>
      <c r="Q43" s="38">
        <f>+Q42*0.163</f>
        <v>1344.098</v>
      </c>
      <c r="R43" s="38">
        <v>540</v>
      </c>
      <c r="S43" s="38">
        <f>+S42*0.338</f>
        <v>2200.38</v>
      </c>
      <c r="T43" s="38">
        <f>+T42*0.66</f>
        <v>941.16000000000008</v>
      </c>
      <c r="U43" s="38">
        <f>+U42*0.8</f>
        <v>620</v>
      </c>
      <c r="V43" s="38">
        <v>3866</v>
      </c>
      <c r="W43" s="38">
        <f>+W42*0.42</f>
        <v>755.16</v>
      </c>
      <c r="X43" s="38">
        <v>605</v>
      </c>
      <c r="Y43" s="38"/>
      <c r="Z43" s="38"/>
      <c r="AA43" s="38"/>
      <c r="AB43" s="38">
        <f>+AB42*0.5597</f>
        <v>3123.1259999999997</v>
      </c>
      <c r="AC43" s="38">
        <f>+AC42*0.862</f>
        <v>10501.745999999999</v>
      </c>
      <c r="AD43" s="38">
        <v>170</v>
      </c>
      <c r="AE43" s="38">
        <v>4378</v>
      </c>
      <c r="AF43" s="38">
        <f>+AF42*0.503</f>
        <v>935.58</v>
      </c>
      <c r="AG43" s="38"/>
      <c r="AH43" s="38">
        <v>1287</v>
      </c>
      <c r="AI43" s="38">
        <v>4857</v>
      </c>
      <c r="AJ43" s="38">
        <f>+AJ42*0.2097</f>
        <v>221.02379999999999</v>
      </c>
      <c r="AK43" s="5">
        <f>SUM(B43:AJ43)</f>
        <v>45853.115800000007</v>
      </c>
      <c r="AL43">
        <f>+AB43+Q43+V43+AC43+AE43+AG43+S43</f>
        <v>25413.350000000002</v>
      </c>
      <c r="AM43" s="20">
        <f>+C43+E43+I43+N43+P43+R43+X43+D43+AI43+W43+AF43</f>
        <v>12802.210000000001</v>
      </c>
      <c r="AN43">
        <f>+B43+F43+O43+Y43+AD43+AJ43+AH43+K43+L43+U43+T43+Z43+AA43+M43+J43+H43+G43</f>
        <v>7637.5557999999992</v>
      </c>
      <c r="AO43">
        <f>+P43+U43+X43+AJ43+N43+I43+F43</f>
        <v>6755.1337999999996</v>
      </c>
      <c r="AP43" s="20">
        <f>+B43+C43+J43+K43+L43+O43+Q43+R43+V43+Y43+AB43+AC43+AD43+AE43+AG43+AH43+S43+D43+AI43+W43+M43+E43+G43+AF43</f>
        <v>38078.822</v>
      </c>
      <c r="AQ43">
        <f>+AA43+Z43+T43+H43</f>
        <v>1019.1600000000001</v>
      </c>
      <c r="AR43">
        <f>+AL43+AM43+AN43</f>
        <v>45853.115800000007</v>
      </c>
      <c r="AS43">
        <f>+AO43+AP43+AQ43</f>
        <v>45853.1158</v>
      </c>
    </row>
    <row r="44" spans="1:45" x14ac:dyDescent="0.2">
      <c r="A44" t="s">
        <v>4</v>
      </c>
      <c r="B44" s="3">
        <v>0</v>
      </c>
      <c r="C44" s="3">
        <f>+C43/C42</f>
        <v>0.66</v>
      </c>
      <c r="D44" s="3"/>
      <c r="E44" s="3">
        <v>0</v>
      </c>
      <c r="F44" s="3">
        <f t="shared" ref="F44:M44" si="13">+F43/F42</f>
        <v>0.38</v>
      </c>
      <c r="G44" s="3">
        <f t="shared" si="13"/>
        <v>0.61599999999999999</v>
      </c>
      <c r="H44" s="3">
        <f t="shared" si="13"/>
        <v>0.1598360655737705</v>
      </c>
      <c r="I44" s="3">
        <f t="shared" si="13"/>
        <v>0.39500000000000002</v>
      </c>
      <c r="J44" s="3">
        <f t="shared" si="13"/>
        <v>0.9</v>
      </c>
      <c r="K44" s="3">
        <f t="shared" si="13"/>
        <v>0.39</v>
      </c>
      <c r="L44" s="3">
        <f t="shared" si="13"/>
        <v>0.82838709677419353</v>
      </c>
      <c r="M44" s="3">
        <f t="shared" si="13"/>
        <v>4.6082949308755762E-2</v>
      </c>
      <c r="N44" s="3">
        <f>+N43/N42</f>
        <v>0.29214559386973182</v>
      </c>
      <c r="O44" s="3">
        <v>0</v>
      </c>
      <c r="P44" s="3">
        <f t="shared" ref="P44:V44" si="14">+P43/P42</f>
        <v>0.79361421988150094</v>
      </c>
      <c r="Q44" s="3">
        <f t="shared" si="14"/>
        <v>0.16300000000000001</v>
      </c>
      <c r="R44" s="3">
        <f t="shared" si="14"/>
        <v>0.15693112467306017</v>
      </c>
      <c r="S44" s="3">
        <f t="shared" si="14"/>
        <v>0.33800000000000002</v>
      </c>
      <c r="T44" s="3">
        <f t="shared" si="14"/>
        <v>0.66</v>
      </c>
      <c r="U44" s="3">
        <f t="shared" si="14"/>
        <v>0.8</v>
      </c>
      <c r="V44" s="3">
        <f t="shared" si="14"/>
        <v>0.26877085650723026</v>
      </c>
      <c r="W44" s="3">
        <f>+W43/W42</f>
        <v>0.42</v>
      </c>
      <c r="X44" s="3">
        <f>+X43/X42</f>
        <v>0.4879</v>
      </c>
      <c r="Y44" s="3"/>
      <c r="Z44" s="3"/>
      <c r="AA44" s="3">
        <v>0</v>
      </c>
      <c r="AB44" s="3">
        <f>+AB43/AB42</f>
        <v>0.55969999999999998</v>
      </c>
      <c r="AC44" s="3">
        <f>+AC43/AC42</f>
        <v>0.86199999999999999</v>
      </c>
      <c r="AD44" s="3">
        <f>+AD43/AD42</f>
        <v>0.42183622828784118</v>
      </c>
      <c r="AE44" s="3">
        <f>+AE43/AE42</f>
        <v>0.55382669196710943</v>
      </c>
      <c r="AF44" s="3">
        <f>+AF43/AF42</f>
        <v>0.503</v>
      </c>
      <c r="AG44" s="3"/>
      <c r="AH44" s="3">
        <f t="shared" ref="AH44:AQ44" si="15">+AH43/AH42</f>
        <v>0.81404174573055033</v>
      </c>
      <c r="AI44" s="3">
        <f t="shared" si="15"/>
        <v>0.88518316019682886</v>
      </c>
      <c r="AJ44" s="3">
        <f t="shared" si="15"/>
        <v>0.2097</v>
      </c>
      <c r="AK44" s="6">
        <f t="shared" si="15"/>
        <v>0.4998595005227317</v>
      </c>
      <c r="AL44" s="3">
        <f t="shared" si="15"/>
        <v>0.46367957232520801</v>
      </c>
      <c r="AM44" s="3">
        <f t="shared" si="15"/>
        <v>0.55332175578710252</v>
      </c>
      <c r="AN44" s="3">
        <f t="shared" si="15"/>
        <v>0.553967926307391</v>
      </c>
      <c r="AO44" s="3">
        <f t="shared" si="15"/>
        <v>0.4785441964226857</v>
      </c>
      <c r="AP44" s="3">
        <f t="shared" si="15"/>
        <v>0.50300945813849041</v>
      </c>
      <c r="AQ44" s="3">
        <f t="shared" si="15"/>
        <v>0.53247648902821321</v>
      </c>
    </row>
    <row r="45" spans="1:45" x14ac:dyDescent="0.2">
      <c r="A45" s="20"/>
      <c r="B45" s="38"/>
      <c r="C45" s="39">
        <v>1</v>
      </c>
      <c r="D45" s="39"/>
      <c r="E45" s="39"/>
      <c r="F45" s="39">
        <v>1</v>
      </c>
      <c r="G45" s="39">
        <v>1</v>
      </c>
      <c r="H45" s="39">
        <v>1</v>
      </c>
      <c r="I45" s="39">
        <v>1</v>
      </c>
      <c r="J45" s="39">
        <v>1</v>
      </c>
      <c r="K45" s="39">
        <v>1</v>
      </c>
      <c r="L45" s="39">
        <v>1</v>
      </c>
      <c r="M45" s="39">
        <v>1</v>
      </c>
      <c r="N45" s="39">
        <v>1</v>
      </c>
      <c r="O45" s="39"/>
      <c r="P45" s="39">
        <v>1</v>
      </c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/>
      <c r="Z45" s="39"/>
      <c r="AA45" s="39"/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/>
      <c r="AH45" s="39">
        <v>1</v>
      </c>
      <c r="AI45" s="39">
        <v>1</v>
      </c>
      <c r="AJ45" s="39">
        <v>1</v>
      </c>
      <c r="AK45" s="19">
        <f>SUM(B45:AJ45)</f>
        <v>27</v>
      </c>
      <c r="AL45" s="20">
        <f>+AB45+Q45+V45+AC45+AE45+AG45+S45</f>
        <v>6</v>
      </c>
      <c r="AM45" s="20">
        <f>+C45+E45+I45+N45+P45+R45+X45+D45+AI45+W45+AF45</f>
        <v>9</v>
      </c>
      <c r="AN45" s="20">
        <f>+B45+F45+O45+Y45+AD45+AJ45+AH45+K45+L45+U45+T45+Z45+AA45+M45+J45+H45+G45</f>
        <v>12</v>
      </c>
      <c r="AO45" s="20">
        <f>+P45+U45+X45+AJ45+N45+I45+F45</f>
        <v>7</v>
      </c>
      <c r="AP45" s="20">
        <f>+B45+C45+J45+K45+L45+O45+Q45+R45+V45+Y45+AB45+AC45+AD45+AE45+AG45+AH45+S45+D45+AI45+W45+M45+E45+G45+AF45</f>
        <v>18</v>
      </c>
      <c r="AQ45" s="20">
        <f>+AA45+Z45+T45+H45</f>
        <v>2</v>
      </c>
    </row>
    <row r="46" spans="1:45" x14ac:dyDescent="0.2">
      <c r="AF46" t="s">
        <v>15</v>
      </c>
    </row>
    <row r="47" spans="1:45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G47" s="1"/>
      <c r="AK47" s="5"/>
    </row>
    <row r="48" spans="1:45" x14ac:dyDescent="0.2">
      <c r="A48" t="s">
        <v>1</v>
      </c>
      <c r="B48" s="38">
        <v>0</v>
      </c>
      <c r="C48" s="38">
        <v>1643</v>
      </c>
      <c r="D48" s="38"/>
      <c r="E48" s="38"/>
      <c r="F48" s="38">
        <v>3379</v>
      </c>
      <c r="G48" s="38">
        <v>527</v>
      </c>
      <c r="H48" s="38">
        <v>488</v>
      </c>
      <c r="I48" s="38">
        <v>0</v>
      </c>
      <c r="J48" s="38">
        <v>1767</v>
      </c>
      <c r="K48" s="38">
        <v>1178</v>
      </c>
      <c r="L48" s="38">
        <v>775</v>
      </c>
      <c r="M48" s="38">
        <v>0</v>
      </c>
      <c r="N48" s="38">
        <v>0</v>
      </c>
      <c r="O48" s="38">
        <v>0</v>
      </c>
      <c r="P48" s="38">
        <v>3038</v>
      </c>
      <c r="Q48" s="38">
        <v>8246</v>
      </c>
      <c r="R48" s="38">
        <v>3441</v>
      </c>
      <c r="S48" s="38">
        <v>6510</v>
      </c>
      <c r="T48" s="38">
        <v>1426</v>
      </c>
      <c r="U48" s="38">
        <v>775</v>
      </c>
      <c r="V48" s="38">
        <v>14384</v>
      </c>
      <c r="W48" s="38">
        <v>1798</v>
      </c>
      <c r="X48" s="38">
        <v>1240</v>
      </c>
      <c r="Y48" s="38"/>
      <c r="Z48" s="38"/>
      <c r="AA48" s="38"/>
      <c r="AB48" s="38">
        <v>5580</v>
      </c>
      <c r="AC48" s="38">
        <v>12183</v>
      </c>
      <c r="AD48" s="38">
        <v>403</v>
      </c>
      <c r="AE48" s="38">
        <v>7781</v>
      </c>
      <c r="AF48" s="38">
        <v>1860</v>
      </c>
      <c r="AG48" s="38"/>
      <c r="AH48" s="38">
        <v>1581</v>
      </c>
      <c r="AI48" s="38">
        <v>5487</v>
      </c>
      <c r="AJ48" s="38">
        <v>1054</v>
      </c>
      <c r="AK48" s="5">
        <f>SUM(C48:AJ48)</f>
        <v>86544</v>
      </c>
      <c r="AL48">
        <f>+AB48+Q48+V48+AC48+AE48+AG48+S48</f>
        <v>54684</v>
      </c>
      <c r="AM48" s="20">
        <f>+C48+E48+I48+N48+P48+R48+X48+D48+AI48+W48+AF48</f>
        <v>18507</v>
      </c>
      <c r="AN48">
        <f>+B48+F48+O48+Y48+AD48+AJ48+AH48+K48+L48+U48+T48+Z48+AA48+M48+J48+H48+G48</f>
        <v>13353</v>
      </c>
      <c r="AO48">
        <f>+P48+U48+X48+AJ48+N48+I48+F48</f>
        <v>9486</v>
      </c>
      <c r="AP48" s="20">
        <f>+B48+C48+J48+K48+L48+O48+Q48+R48+V48+Y48+AB48+AC48+AD48+AE48+AG48+AH48+S48+D48+AI48+W48+M48+E48+G48+AF48</f>
        <v>75144</v>
      </c>
      <c r="AQ48">
        <f>+AA48+Z48+T48+H48</f>
        <v>1914</v>
      </c>
      <c r="AR48">
        <f>+AL48+AM48+AN48</f>
        <v>86544</v>
      </c>
      <c r="AS48">
        <f>+AO48+AP48+AQ48</f>
        <v>86544</v>
      </c>
    </row>
    <row r="49" spans="1:46" x14ac:dyDescent="0.2">
      <c r="A49" t="s">
        <v>2</v>
      </c>
      <c r="B49" s="38">
        <v>0</v>
      </c>
      <c r="C49" s="38">
        <f>+C48*0.66</f>
        <v>1084.3800000000001</v>
      </c>
      <c r="D49" s="38"/>
      <c r="E49" s="38"/>
      <c r="F49" s="38">
        <f>+F48*0.35</f>
        <v>1182.6499999999999</v>
      </c>
      <c r="G49" s="38">
        <v>308</v>
      </c>
      <c r="H49" s="38">
        <v>135</v>
      </c>
      <c r="I49" s="38">
        <v>0</v>
      </c>
      <c r="J49" s="38">
        <f>+J48*0.89</f>
        <v>1572.63</v>
      </c>
      <c r="K49" s="38">
        <v>845</v>
      </c>
      <c r="L49" s="38">
        <v>642</v>
      </c>
      <c r="M49" s="38">
        <v>0</v>
      </c>
      <c r="N49" s="38">
        <v>0</v>
      </c>
      <c r="O49" s="38">
        <v>0</v>
      </c>
      <c r="P49" s="38">
        <v>1945</v>
      </c>
      <c r="Q49" s="38">
        <f>+Q48*0.093</f>
        <v>766.87800000000004</v>
      </c>
      <c r="R49" s="38">
        <v>981</v>
      </c>
      <c r="S49" s="38">
        <f>+S48*0.68</f>
        <v>4426.8</v>
      </c>
      <c r="T49" s="38">
        <f>+T48*0.414</f>
        <v>590.36399999999992</v>
      </c>
      <c r="U49" s="38">
        <f>+U48*0.75</f>
        <v>581.25</v>
      </c>
      <c r="V49" s="38">
        <v>6824</v>
      </c>
      <c r="W49" s="38">
        <f>+W48*0.4</f>
        <v>719.2</v>
      </c>
      <c r="X49" s="38">
        <f>+X48*0.692</f>
        <v>858.07999999999993</v>
      </c>
      <c r="Y49" s="38"/>
      <c r="Z49" s="38"/>
      <c r="AA49" s="38"/>
      <c r="AB49" s="38">
        <f>+AB48*0.7667</f>
        <v>4278.1860000000006</v>
      </c>
      <c r="AC49" s="38">
        <f>+AC48*0.676</f>
        <v>8235.7080000000005</v>
      </c>
      <c r="AD49" s="38">
        <v>158</v>
      </c>
      <c r="AE49" s="38">
        <v>5517</v>
      </c>
      <c r="AF49" s="38">
        <f>+AF48*0.495</f>
        <v>920.7</v>
      </c>
      <c r="AG49" s="38"/>
      <c r="AH49" s="38">
        <v>1360</v>
      </c>
      <c r="AI49" s="38">
        <v>5331</v>
      </c>
      <c r="AJ49" s="38">
        <f>+AJ48*0.2765</f>
        <v>291.43100000000004</v>
      </c>
      <c r="AK49" s="5">
        <f>SUM(C49:AJ49)</f>
        <v>49554.256999999991</v>
      </c>
      <c r="AL49">
        <f>+AB49+Q49+V49+AC49+AE49+AG49+S49</f>
        <v>30048.572</v>
      </c>
      <c r="AM49" s="20">
        <f>+C49+E49+I49+N49+P49+R49+X49+D49+AI49+W49+AF49</f>
        <v>11839.36</v>
      </c>
      <c r="AN49">
        <f>+B49+F49+O49+Y49+AD49+AJ49+AH49+K49+L49+U49+T49+Z49+AA49+M49+J49+H49+G49</f>
        <v>7666.3249999999998</v>
      </c>
      <c r="AO49">
        <f>+P49+U49+X49+AJ49+N49+I49+F49</f>
        <v>4858.4110000000001</v>
      </c>
      <c r="AP49" s="20">
        <f>+B49+C49+J49+K49+L49+O49+Q49+R49+V49+Y49+AB49+AC49+AD49+AE49+AG49+AH49+S49+D49+AI49+W49+M49+E49+G49+AF49</f>
        <v>43970.481999999996</v>
      </c>
      <c r="AQ49">
        <f>+AA49+Z49+T49+H49</f>
        <v>725.36399999999992</v>
      </c>
      <c r="AR49">
        <f>+AL49+AM49+AN49</f>
        <v>49554.256999999998</v>
      </c>
      <c r="AS49">
        <f>+AO49+AP49+AQ49</f>
        <v>49554.256999999998</v>
      </c>
    </row>
    <row r="50" spans="1:46" x14ac:dyDescent="0.2">
      <c r="A50" t="s">
        <v>4</v>
      </c>
      <c r="B50" s="3">
        <v>0</v>
      </c>
      <c r="C50" s="3">
        <f>+C49/C48</f>
        <v>0.66</v>
      </c>
      <c r="D50" s="3"/>
      <c r="E50" s="3">
        <v>0</v>
      </c>
      <c r="F50" s="3">
        <f t="shared" ref="F50:L50" si="16">+F49/F48</f>
        <v>0.35</v>
      </c>
      <c r="G50" s="3">
        <f t="shared" si="16"/>
        <v>0.58444022770398485</v>
      </c>
      <c r="H50" s="3">
        <f t="shared" si="16"/>
        <v>0.27663934426229508</v>
      </c>
      <c r="I50" s="3">
        <v>0</v>
      </c>
      <c r="J50" s="3">
        <f t="shared" si="16"/>
        <v>0.89</v>
      </c>
      <c r="K50" s="3">
        <f t="shared" si="16"/>
        <v>0.71731748726655353</v>
      </c>
      <c r="L50" s="3">
        <f t="shared" si="16"/>
        <v>0.82838709677419353</v>
      </c>
      <c r="M50" s="3">
        <v>0</v>
      </c>
      <c r="N50" s="3">
        <v>0</v>
      </c>
      <c r="O50" s="3">
        <v>0</v>
      </c>
      <c r="P50" s="3">
        <f t="shared" ref="P50:V50" si="17">+P49/P48</f>
        <v>0.64022383146807105</v>
      </c>
      <c r="Q50" s="3">
        <f t="shared" si="17"/>
        <v>9.2999999999999999E-2</v>
      </c>
      <c r="R50" s="3">
        <f t="shared" si="17"/>
        <v>0.28509154315605928</v>
      </c>
      <c r="S50" s="3">
        <f t="shared" si="17"/>
        <v>0.68</v>
      </c>
      <c r="T50" s="3">
        <f t="shared" si="17"/>
        <v>0.41399999999999992</v>
      </c>
      <c r="U50" s="3">
        <f t="shared" si="17"/>
        <v>0.75</v>
      </c>
      <c r="V50" s="3">
        <f t="shared" si="17"/>
        <v>0.47441601779755282</v>
      </c>
      <c r="W50" s="3">
        <f>+W49/W48</f>
        <v>0.4</v>
      </c>
      <c r="X50" s="3">
        <f>+X49/X48</f>
        <v>0.69199999999999995</v>
      </c>
      <c r="Y50" s="3"/>
      <c r="Z50" s="3"/>
      <c r="AA50" s="3">
        <v>0</v>
      </c>
      <c r="AB50" s="3">
        <f>+AB49/AB48</f>
        <v>0.76670000000000016</v>
      </c>
      <c r="AC50" s="3">
        <f>+AC49/AC48</f>
        <v>0.67600000000000005</v>
      </c>
      <c r="AD50" s="3">
        <f>+AD49/AD48</f>
        <v>0.39205955334987591</v>
      </c>
      <c r="AE50" s="3">
        <f>+AE49/AE48</f>
        <v>0.70903482842822263</v>
      </c>
      <c r="AF50" s="3">
        <f>+AF49/AF48</f>
        <v>0.49500000000000005</v>
      </c>
      <c r="AG50" s="3"/>
      <c r="AH50" s="3">
        <f t="shared" ref="AH50:AQ50" si="18">+AH49/AH48</f>
        <v>0.86021505376344087</v>
      </c>
      <c r="AI50" s="3">
        <f t="shared" si="18"/>
        <v>0.97156916347731004</v>
      </c>
      <c r="AJ50" s="3">
        <f t="shared" si="18"/>
        <v>0.27650000000000002</v>
      </c>
      <c r="AK50" s="6">
        <f t="shared" si="18"/>
        <v>0.57259032399704191</v>
      </c>
      <c r="AL50" s="3">
        <f t="shared" si="18"/>
        <v>0.54949476995099111</v>
      </c>
      <c r="AM50" s="3">
        <f t="shared" si="18"/>
        <v>0.63972334792240781</v>
      </c>
      <c r="AN50" s="3">
        <f t="shared" si="18"/>
        <v>0.57412753688309737</v>
      </c>
      <c r="AO50" s="3">
        <f t="shared" si="18"/>
        <v>0.51216645582964371</v>
      </c>
      <c r="AP50" s="3">
        <f t="shared" si="18"/>
        <v>0.58514960608964117</v>
      </c>
      <c r="AQ50" s="3">
        <f t="shared" si="18"/>
        <v>0.37897805642633225</v>
      </c>
    </row>
    <row r="51" spans="1:46" x14ac:dyDescent="0.2">
      <c r="A51" s="20"/>
      <c r="B51" s="20"/>
      <c r="C51" s="39">
        <v>1</v>
      </c>
      <c r="D51" s="39"/>
      <c r="E51" s="39"/>
      <c r="F51" s="39">
        <v>1</v>
      </c>
      <c r="G51" s="39">
        <v>1</v>
      </c>
      <c r="H51" s="39">
        <v>1</v>
      </c>
      <c r="I51" s="39"/>
      <c r="J51" s="39">
        <v>1</v>
      </c>
      <c r="K51" s="39">
        <v>1</v>
      </c>
      <c r="L51" s="39">
        <v>1</v>
      </c>
      <c r="M51" s="39"/>
      <c r="N51" s="39"/>
      <c r="O51" s="39"/>
      <c r="P51" s="39">
        <v>1</v>
      </c>
      <c r="Q51" s="39">
        <v>1</v>
      </c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>
        <v>1</v>
      </c>
      <c r="Y51" s="39"/>
      <c r="Z51" s="39"/>
      <c r="AA51" s="39"/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/>
      <c r="AH51" s="39">
        <v>1</v>
      </c>
      <c r="AI51" s="39">
        <v>1</v>
      </c>
      <c r="AJ51" s="39">
        <v>1</v>
      </c>
      <c r="AK51" s="19">
        <f>SUM(C51:AJ51)</f>
        <v>24</v>
      </c>
      <c r="AL51" s="20">
        <f>+AB51+Q51+V51+AC51+AE51+AG51+S51</f>
        <v>6</v>
      </c>
      <c r="AM51" s="20">
        <f>+C51+E51+I51+N51+P51+R51+X51+D51+AI51+W51+AF51</f>
        <v>7</v>
      </c>
      <c r="AN51" s="20">
        <f>+B51+F51+O51+Y51+AD51+AJ51+AH51+K51+L51+U51+T51+Z51+AA51+M51+J51+H51+G51</f>
        <v>11</v>
      </c>
      <c r="AO51" s="20">
        <f>+P51+U51+X51+AJ51+N51+I51+F51</f>
        <v>5</v>
      </c>
      <c r="AP51" s="20">
        <f>+B51+C51+J51+K51+L51+O51+Q51+R51+V51+Y51+AB51+AC51+AD51+AE51+AG51+AH51+S51+D51+AI51+W51+M51+E51+G51+AF51</f>
        <v>17</v>
      </c>
      <c r="AQ51" s="20">
        <f>+AA51+Z51+T51+H51</f>
        <v>2</v>
      </c>
    </row>
    <row r="52" spans="1:46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19"/>
      <c r="AL52" s="20"/>
      <c r="AM52" s="20"/>
      <c r="AN52" s="20"/>
      <c r="AO52" s="20"/>
      <c r="AP52" s="20"/>
      <c r="AQ52" s="20"/>
    </row>
    <row r="53" spans="1:46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G53" s="1"/>
      <c r="AK53" s="5"/>
    </row>
    <row r="54" spans="1:46" x14ac:dyDescent="0.2">
      <c r="A54" t="s">
        <v>1</v>
      </c>
      <c r="B54" s="38">
        <v>0</v>
      </c>
      <c r="C54" s="38">
        <v>1590</v>
      </c>
      <c r="D54" s="38"/>
      <c r="E54" s="38"/>
      <c r="F54" s="38">
        <v>3270</v>
      </c>
      <c r="G54" s="38">
        <v>510</v>
      </c>
      <c r="H54" s="38">
        <v>420</v>
      </c>
      <c r="I54" s="38">
        <v>0</v>
      </c>
      <c r="J54" s="38">
        <v>1710</v>
      </c>
      <c r="K54" s="38">
        <v>1140</v>
      </c>
      <c r="L54" s="38">
        <v>0</v>
      </c>
      <c r="M54" s="38">
        <v>0</v>
      </c>
      <c r="N54" s="38">
        <v>0</v>
      </c>
      <c r="O54" s="38"/>
      <c r="P54" s="38">
        <v>2820</v>
      </c>
      <c r="Q54" s="38">
        <v>7980</v>
      </c>
      <c r="R54" s="38">
        <v>3330</v>
      </c>
      <c r="S54" s="38">
        <v>6300</v>
      </c>
      <c r="T54" s="38">
        <v>1380</v>
      </c>
      <c r="U54" s="38">
        <v>0</v>
      </c>
      <c r="V54" s="38">
        <v>13920</v>
      </c>
      <c r="W54" s="38">
        <v>1740</v>
      </c>
      <c r="X54" s="38"/>
      <c r="Y54" s="38"/>
      <c r="Z54" s="38"/>
      <c r="AA54" s="38"/>
      <c r="AB54" s="38">
        <v>5400</v>
      </c>
      <c r="AC54" s="38">
        <v>11790</v>
      </c>
      <c r="AD54" s="38">
        <v>390</v>
      </c>
      <c r="AE54" s="38">
        <v>0</v>
      </c>
      <c r="AF54" s="38">
        <v>1800</v>
      </c>
      <c r="AG54" s="38"/>
      <c r="AH54" s="38">
        <v>1530</v>
      </c>
      <c r="AI54" s="38">
        <v>5310</v>
      </c>
      <c r="AJ54" s="38"/>
      <c r="AK54" s="5">
        <f>SUM(C54:AJ54)</f>
        <v>72330</v>
      </c>
      <c r="AL54">
        <f>+AB54+Q54+V54+AC54+AE54+AG54+S54</f>
        <v>45390</v>
      </c>
      <c r="AM54" s="20">
        <f>+C54+E54+I54+N54+P54+R54+X54+D54+AI54+W54+AF54</f>
        <v>16590</v>
      </c>
      <c r="AN54">
        <f>+B54+F54+O54+Y54+AD54+AJ54+AH54+K54+L54+U54+T54+Z54+AA54+M54+J54+H54+G54</f>
        <v>10350</v>
      </c>
      <c r="AO54">
        <f>+P54+U54+X54+AJ54+N54+I54+F54</f>
        <v>6090</v>
      </c>
      <c r="AP54" s="20">
        <f>+B54+C54+J54+K54+L54+O54+Q54+R54+V54+Y54+AB54+AC54+AD54+AE54+AG54+AH54+S54+D54+AI54+W54+M54+E54+G54+AF54</f>
        <v>64440</v>
      </c>
      <c r="AQ54">
        <f>+AA54+Z54+T54+H54</f>
        <v>1800</v>
      </c>
      <c r="AR54">
        <f>+AL54+AM54+AN54</f>
        <v>72330</v>
      </c>
      <c r="AS54">
        <f>+AO54+AP54+AQ54</f>
        <v>72330</v>
      </c>
      <c r="AT54">
        <f>+AK54+AK48+AK42+AK36+AK30+AK24+AK18+AK12+AK6</f>
        <v>789797.50190773199</v>
      </c>
    </row>
    <row r="55" spans="1:46" x14ac:dyDescent="0.2">
      <c r="A55" t="s">
        <v>2</v>
      </c>
      <c r="B55" s="38">
        <v>0</v>
      </c>
      <c r="C55" s="38">
        <f>+C54*0.54</f>
        <v>858.6</v>
      </c>
      <c r="D55" s="38"/>
      <c r="E55" s="38"/>
      <c r="F55" s="38">
        <f>+F54*0.3</f>
        <v>981</v>
      </c>
      <c r="G55" s="38">
        <f>+G54*0.35</f>
        <v>178.5</v>
      </c>
      <c r="H55" s="38">
        <v>59</v>
      </c>
      <c r="I55" s="38">
        <v>0</v>
      </c>
      <c r="J55" s="38">
        <f>+J54*0.81</f>
        <v>1385.1000000000001</v>
      </c>
      <c r="K55" s="38">
        <v>552</v>
      </c>
      <c r="L55" s="38">
        <v>0</v>
      </c>
      <c r="M55" s="38">
        <v>0</v>
      </c>
      <c r="N55" s="38">
        <v>0</v>
      </c>
      <c r="O55" s="38"/>
      <c r="P55" s="38">
        <v>1811</v>
      </c>
      <c r="Q55" s="38">
        <f>+Q54*0.037</f>
        <v>295.26</v>
      </c>
      <c r="R55" s="38">
        <f>+R54*0.163</f>
        <v>542.79</v>
      </c>
      <c r="S55" s="38">
        <f>+S54*0.351</f>
        <v>2211.2999999999997</v>
      </c>
      <c r="T55" s="38">
        <f>+T54*0.261</f>
        <v>360.18</v>
      </c>
      <c r="U55" s="38">
        <v>0</v>
      </c>
      <c r="V55" s="38">
        <v>2813</v>
      </c>
      <c r="W55" s="38">
        <f>+W54*0.28</f>
        <v>487.20000000000005</v>
      </c>
      <c r="X55" s="38"/>
      <c r="Y55" s="38"/>
      <c r="Z55" s="38"/>
      <c r="AA55" s="38"/>
      <c r="AB55" s="38">
        <f>+AB54*0.8343</f>
        <v>4505.22</v>
      </c>
      <c r="AC55" s="38">
        <f>+AC54*0.6064</f>
        <v>7149.456000000001</v>
      </c>
      <c r="AD55" s="38">
        <v>70</v>
      </c>
      <c r="AE55" s="38">
        <v>0</v>
      </c>
      <c r="AF55" s="38">
        <f>+AF54*0.3241</f>
        <v>583.38</v>
      </c>
      <c r="AG55" s="38"/>
      <c r="AH55" s="38">
        <v>1166</v>
      </c>
      <c r="AI55" s="38">
        <v>4668</v>
      </c>
      <c r="AJ55" s="38"/>
      <c r="AK55" s="5">
        <f>SUM(C55:AJ55)</f>
        <v>30676.986000000004</v>
      </c>
      <c r="AL55">
        <f>+AB55+Q55+V55+AC55+AE55+AG55+S55</f>
        <v>16974.236000000001</v>
      </c>
      <c r="AM55" s="20">
        <f>+C55+E55+I55+N55+P55+R55+X55+D55+AI55+W55+AF55</f>
        <v>8950.9699999999993</v>
      </c>
      <c r="AN55">
        <f>+B55+F55+O55+Y55+AD55+AJ55+AH55+K55+L55+U55+T55+Z55+AA55+M55+J55+H55+G55</f>
        <v>4751.78</v>
      </c>
      <c r="AO55">
        <f>+P55+U55+X55+AJ55+N55+I55+F55</f>
        <v>2792</v>
      </c>
      <c r="AP55" s="20">
        <f>+B55+C55+J55+K55+L55+O55+Q55+R55+V55+Y55+AB55+AC55+AD55+AE55+AG55+AH55+S55+D55+AI55+W55+M55+E55+G55+AF55</f>
        <v>27465.806000000004</v>
      </c>
      <c r="AQ55">
        <f>+AA55+Z55+T55+H55</f>
        <v>419.18</v>
      </c>
      <c r="AR55">
        <f>+AL55+AM55+AN55</f>
        <v>30676.985999999997</v>
      </c>
      <c r="AS55">
        <f>+AO55+AP55+AQ55</f>
        <v>30676.986000000004</v>
      </c>
      <c r="AT55">
        <f>+AK55+AK49+AK43+AK37+AK31+AK25+AK19+AK13+AK7</f>
        <v>468214.32599999994</v>
      </c>
    </row>
    <row r="56" spans="1:46" x14ac:dyDescent="0.2">
      <c r="A56" t="s">
        <v>4</v>
      </c>
      <c r="B56" s="3">
        <v>0</v>
      </c>
      <c r="C56" s="3">
        <f>+C55/C54</f>
        <v>0.54</v>
      </c>
      <c r="D56" s="3"/>
      <c r="E56" s="3">
        <v>0</v>
      </c>
      <c r="F56" s="3">
        <f>+F55/F54</f>
        <v>0.3</v>
      </c>
      <c r="G56" s="3">
        <f>+G55/G54</f>
        <v>0.35</v>
      </c>
      <c r="H56" s="3">
        <f>+H55/H54</f>
        <v>0.14047619047619048</v>
      </c>
      <c r="I56" s="3">
        <v>0</v>
      </c>
      <c r="J56" s="3">
        <f>+J55/J54</f>
        <v>0.81</v>
      </c>
      <c r="K56" s="3">
        <f>+K55/K54</f>
        <v>0.48421052631578948</v>
      </c>
      <c r="L56" s="3">
        <v>0</v>
      </c>
      <c r="M56" s="3">
        <v>0</v>
      </c>
      <c r="N56" s="3">
        <v>0</v>
      </c>
      <c r="O56" s="3">
        <v>0</v>
      </c>
      <c r="P56" s="3">
        <f>+P55/P54</f>
        <v>0.64219858156028364</v>
      </c>
      <c r="Q56" s="3">
        <f>+Q55/Q54</f>
        <v>3.6999999999999998E-2</v>
      </c>
      <c r="R56" s="3">
        <f>+R55/R54</f>
        <v>0.16299999999999998</v>
      </c>
      <c r="S56" s="3">
        <f>+S55/S54</f>
        <v>0.35099999999999998</v>
      </c>
      <c r="T56" s="3">
        <f>+T55/T54</f>
        <v>0.26100000000000001</v>
      </c>
      <c r="U56" s="3">
        <v>0</v>
      </c>
      <c r="V56" s="3">
        <f>+V55/V54</f>
        <v>0.20208333333333334</v>
      </c>
      <c r="W56" s="3">
        <f>+W55/W54</f>
        <v>0.28000000000000003</v>
      </c>
      <c r="X56" s="3">
        <v>0</v>
      </c>
      <c r="Y56" s="3"/>
      <c r="Z56" s="3"/>
      <c r="AA56" s="3">
        <v>0</v>
      </c>
      <c r="AB56" s="3">
        <f>+AB55/AB54</f>
        <v>0.83430000000000004</v>
      </c>
      <c r="AC56" s="3">
        <f>+AC55/AC54</f>
        <v>0.60640000000000005</v>
      </c>
      <c r="AD56" s="3">
        <f>+AD55/AD54</f>
        <v>0.17948717948717949</v>
      </c>
      <c r="AE56" s="3">
        <v>0</v>
      </c>
      <c r="AF56" s="3">
        <f>+AF55/AF54</f>
        <v>0.3241</v>
      </c>
      <c r="AG56" s="3"/>
      <c r="AH56" s="3">
        <f>+AH55/AH54</f>
        <v>0.76209150326797381</v>
      </c>
      <c r="AI56" s="3">
        <f>+AI55/AI54</f>
        <v>0.87909604519774009</v>
      </c>
      <c r="AJ56" s="3">
        <v>0</v>
      </c>
      <c r="AK56" s="6">
        <f t="shared" ref="AK56:AQ56" si="19">+AK55/AK54</f>
        <v>0.42412534218166742</v>
      </c>
      <c r="AL56" s="3">
        <f t="shared" si="19"/>
        <v>0.37396422119409561</v>
      </c>
      <c r="AM56" s="3">
        <f t="shared" si="19"/>
        <v>0.53954008438818557</v>
      </c>
      <c r="AN56" s="3">
        <f t="shared" si="19"/>
        <v>0.45910917874396134</v>
      </c>
      <c r="AO56" s="3">
        <f t="shared" si="19"/>
        <v>0.45845648604269296</v>
      </c>
      <c r="AP56" s="3">
        <f t="shared" si="19"/>
        <v>0.42622293606455625</v>
      </c>
      <c r="AQ56" s="3">
        <f t="shared" si="19"/>
        <v>0.23287777777777779</v>
      </c>
      <c r="AT56">
        <f>+AT55/AT54</f>
        <v>0.59282831975163552</v>
      </c>
    </row>
    <row r="57" spans="1:46" x14ac:dyDescent="0.2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>
        <v>1</v>
      </c>
      <c r="I57" s="20"/>
      <c r="J57" s="20">
        <v>1</v>
      </c>
      <c r="K57" s="20">
        <v>1</v>
      </c>
      <c r="L57" s="20"/>
      <c r="M57" s="20"/>
      <c r="N57" s="20"/>
      <c r="O57" s="20"/>
      <c r="P57" s="20">
        <v>1</v>
      </c>
      <c r="Q57" s="20">
        <v>1</v>
      </c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/>
      <c r="AF57" s="20">
        <v>1</v>
      </c>
      <c r="AG57" s="20"/>
      <c r="AH57" s="20">
        <v>1</v>
      </c>
      <c r="AI57" s="20">
        <v>1</v>
      </c>
      <c r="AJ57" s="20"/>
      <c r="AK57" s="19">
        <f>SUM(C57:AJ57)</f>
        <v>19</v>
      </c>
      <c r="AL57" s="20">
        <f>+AB57+Q57+V57+AC57+AE57+AG57+S57</f>
        <v>5</v>
      </c>
      <c r="AM57" s="20">
        <f>+C57+E57+I57+N57+P57+R57+X57+D57+AI57+W57+AF57</f>
        <v>6</v>
      </c>
      <c r="AN57" s="20">
        <f>+B57+F57+O57+Y57+AD57+AJ57+AH57+K57+L57+U57+T57+Z57+AA57+M57+J57+H57+G57</f>
        <v>8</v>
      </c>
      <c r="AO57" s="20">
        <f>+P57+U57+X57+AJ57+N57+I57+F57</f>
        <v>2</v>
      </c>
      <c r="AP57" s="20">
        <f>+B57+C57+J57+K57+L57+O57+Q57+R57+V57+Y57+AB57+AC57+AD57+AE57+AG57+AH57+S57+D57+AI57+W57+M57+E57+G57+AF57</f>
        <v>15</v>
      </c>
      <c r="AQ57" s="20">
        <f>+AA57+Z57+T57+H57</f>
        <v>2</v>
      </c>
    </row>
    <row r="58" spans="1:46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19"/>
      <c r="AL58" s="20"/>
      <c r="AM58" s="20"/>
      <c r="AN58" s="20"/>
      <c r="AO58" s="20"/>
      <c r="AP58" s="20"/>
      <c r="AQ58" s="20"/>
    </row>
    <row r="59" spans="1:46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G59" s="1"/>
      <c r="AK59" s="5"/>
    </row>
    <row r="60" spans="1:46" x14ac:dyDescent="0.2">
      <c r="A60" t="s">
        <v>1</v>
      </c>
      <c r="B60" s="38"/>
      <c r="C60" s="38">
        <v>1643</v>
      </c>
      <c r="D60" s="38"/>
      <c r="E60" s="38"/>
      <c r="F60" s="38">
        <v>3379</v>
      </c>
      <c r="G60" s="38">
        <v>527</v>
      </c>
      <c r="H60" s="38">
        <v>504</v>
      </c>
      <c r="I60" s="38">
        <f>2542/31*16</f>
        <v>1312</v>
      </c>
      <c r="J60" s="38">
        <v>1767</v>
      </c>
      <c r="K60" s="38">
        <v>1178</v>
      </c>
      <c r="L60" s="38">
        <v>775</v>
      </c>
      <c r="M60" s="38"/>
      <c r="N60" s="38">
        <v>216</v>
      </c>
      <c r="O60" s="38"/>
      <c r="P60" s="38">
        <v>3038</v>
      </c>
      <c r="Q60" s="38">
        <v>8246</v>
      </c>
      <c r="R60" s="38">
        <v>3441</v>
      </c>
      <c r="S60" s="38">
        <v>6510</v>
      </c>
      <c r="T60" s="38">
        <v>1426</v>
      </c>
      <c r="U60" s="38">
        <v>775</v>
      </c>
      <c r="V60" s="38">
        <v>14384</v>
      </c>
      <c r="W60" s="38">
        <v>1798</v>
      </c>
      <c r="X60" s="38">
        <v>1240</v>
      </c>
      <c r="Y60" s="38"/>
      <c r="Z60" s="38"/>
      <c r="AA60" s="38"/>
      <c r="AB60" s="38">
        <v>5580</v>
      </c>
      <c r="AC60" s="38">
        <v>12183</v>
      </c>
      <c r="AD60" s="38">
        <f>12*31</f>
        <v>372</v>
      </c>
      <c r="AE60" s="38">
        <v>7781</v>
      </c>
      <c r="AF60" s="38">
        <v>1798</v>
      </c>
      <c r="AG60" s="38"/>
      <c r="AH60" s="38">
        <v>1581</v>
      </c>
      <c r="AI60" s="38">
        <v>5487</v>
      </c>
      <c r="AJ60" s="38">
        <v>0</v>
      </c>
      <c r="AK60" s="5">
        <f>SUM(C60:AJ60)</f>
        <v>86941</v>
      </c>
      <c r="AL60">
        <f>+AB60+Q60+V60+AC60+AE60+AG60+S60</f>
        <v>54684</v>
      </c>
      <c r="AM60" s="20">
        <f>+C60+E60+I60+N60+P60+R60+X60+D60+AI60+W60+AF60</f>
        <v>19973</v>
      </c>
      <c r="AN60">
        <f>+B60+F60+O60+Y60+AD60+AJ60+AH60+K60+L60+U60+T60+Z60+AA60+M60+J60+H60+G60</f>
        <v>12284</v>
      </c>
      <c r="AO60">
        <f>+P60+U60+X60+AJ60+N60+I60+F60</f>
        <v>9960</v>
      </c>
      <c r="AP60" s="20">
        <f>+B60+C60+J60+K60+L60+O60+Q60+R60+V60+Y60+AB60+AC60+AD60+AE60+AG60+AH60+S60+D60+AI60+W60+M60+E60+G60+AF60</f>
        <v>75051</v>
      </c>
      <c r="AQ60">
        <f>+AA60+Z60+T60+H60</f>
        <v>1930</v>
      </c>
      <c r="AR60">
        <f>+AL60+AM60+AN60</f>
        <v>86941</v>
      </c>
    </row>
    <row r="61" spans="1:46" x14ac:dyDescent="0.2">
      <c r="A61" t="s">
        <v>2</v>
      </c>
      <c r="B61" s="38"/>
      <c r="C61" s="38">
        <v>969</v>
      </c>
      <c r="D61" s="38"/>
      <c r="E61" s="38"/>
      <c r="F61" s="38">
        <f>+F60*0.44</f>
        <v>1486.76</v>
      </c>
      <c r="G61" s="38">
        <v>248</v>
      </c>
      <c r="H61" s="38">
        <v>22</v>
      </c>
      <c r="I61" s="38">
        <v>685</v>
      </c>
      <c r="J61" s="38">
        <f>+J60*0.8</f>
        <v>1413.6000000000001</v>
      </c>
      <c r="K61" s="38">
        <v>686</v>
      </c>
      <c r="L61" s="38">
        <f>+L60*0.74</f>
        <v>573.5</v>
      </c>
      <c r="M61" s="38"/>
      <c r="N61" s="38">
        <v>31</v>
      </c>
      <c r="O61" s="38"/>
      <c r="P61" s="38">
        <v>2684</v>
      </c>
      <c r="Q61" s="38">
        <f>+Q60*0.043</f>
        <v>354.57799999999997</v>
      </c>
      <c r="R61" s="38">
        <f>+R60*0.25</f>
        <v>860.25</v>
      </c>
      <c r="S61" s="38">
        <f>+S60*0.294</f>
        <v>1913.9399999999998</v>
      </c>
      <c r="T61" s="38">
        <f>+T60*0.418</f>
        <v>596.06799999999998</v>
      </c>
      <c r="U61" s="38">
        <f>+U60*0.55</f>
        <v>426.25000000000006</v>
      </c>
      <c r="V61" s="38">
        <v>3292</v>
      </c>
      <c r="W61" s="38">
        <f>+W60*0.29</f>
        <v>521.41999999999996</v>
      </c>
      <c r="X61" s="38">
        <v>542</v>
      </c>
      <c r="Y61" s="38"/>
      <c r="Z61" s="38"/>
      <c r="AA61" s="38"/>
      <c r="AB61" s="38">
        <f>+AB60*0.7785</f>
        <v>4344.03</v>
      </c>
      <c r="AC61" s="38">
        <f>+AC60*0.63</f>
        <v>7675.29</v>
      </c>
      <c r="AD61" s="38">
        <v>54</v>
      </c>
      <c r="AE61" s="38">
        <v>4102</v>
      </c>
      <c r="AF61" s="38">
        <v>588</v>
      </c>
      <c r="AG61" s="38"/>
      <c r="AH61" s="38">
        <v>805</v>
      </c>
      <c r="AI61" s="38">
        <v>4543</v>
      </c>
      <c r="AJ61" s="38"/>
      <c r="AK61" s="5">
        <f>SUM(C61:AJ61)</f>
        <v>39416.686000000002</v>
      </c>
      <c r="AL61">
        <f>+AB61+Q61+V61+AC61+AE61+AG61+S61</f>
        <v>21681.838</v>
      </c>
      <c r="AM61" s="20">
        <f>+C61+E61+I61+N61+P61+R61+X61+D61+AI61+W61+AF61</f>
        <v>11423.67</v>
      </c>
      <c r="AN61">
        <f>+B61+F61+O61+Y61+AD61+AJ61+AH61+K61+L61+U61+T61+Z61+AA61+M61+J61+H61+G61</f>
        <v>6311.1780000000008</v>
      </c>
      <c r="AO61">
        <f>+P61+U61+X61+AJ61+N61+I61+F61</f>
        <v>5855.01</v>
      </c>
      <c r="AP61" s="20">
        <f>+B61+C61+J61+K61+L61+O61+Q61+R61+V61+Y61+AB61+AC61+AD61+AE61+AG61+AH61+S61+D61+AI61+W61+M61+E61+G61+AF61</f>
        <v>32943.607999999993</v>
      </c>
      <c r="AQ61">
        <f>+AA61+Z61+T61+H61</f>
        <v>618.06799999999998</v>
      </c>
      <c r="AR61">
        <f>+AL61+AM61+AN61</f>
        <v>39416.686000000002</v>
      </c>
    </row>
    <row r="62" spans="1:46" x14ac:dyDescent="0.2">
      <c r="A62" t="s">
        <v>4</v>
      </c>
      <c r="B62" s="3">
        <v>0</v>
      </c>
      <c r="C62" s="3">
        <f>+C61/C60</f>
        <v>0.58977480219111378</v>
      </c>
      <c r="D62" s="3"/>
      <c r="E62" s="3">
        <v>0</v>
      </c>
      <c r="F62" s="3">
        <f t="shared" ref="F62:L62" si="20">+F61/F60</f>
        <v>0.44</v>
      </c>
      <c r="G62" s="3">
        <f t="shared" si="20"/>
        <v>0.47058823529411764</v>
      </c>
      <c r="H62" s="3">
        <f t="shared" si="20"/>
        <v>4.3650793650793648E-2</v>
      </c>
      <c r="I62" s="3">
        <f t="shared" si="20"/>
        <v>0.52210365853658536</v>
      </c>
      <c r="J62" s="3">
        <f t="shared" si="20"/>
        <v>0.8</v>
      </c>
      <c r="K62" s="3">
        <f t="shared" si="20"/>
        <v>0.58234295415959259</v>
      </c>
      <c r="L62" s="3">
        <f t="shared" si="20"/>
        <v>0.74</v>
      </c>
      <c r="M62" s="3">
        <v>0</v>
      </c>
      <c r="N62" s="3">
        <f>+N61/N60</f>
        <v>0.14351851851851852</v>
      </c>
      <c r="O62" s="3">
        <v>0</v>
      </c>
      <c r="P62" s="3">
        <f t="shared" ref="P62:X62" si="21">+P61/P60</f>
        <v>0.88347597103357467</v>
      </c>
      <c r="Q62" s="3">
        <f t="shared" si="21"/>
        <v>4.2999999999999997E-2</v>
      </c>
      <c r="R62" s="3">
        <f t="shared" si="21"/>
        <v>0.25</v>
      </c>
      <c r="S62" s="3">
        <f t="shared" si="21"/>
        <v>0.29399999999999998</v>
      </c>
      <c r="T62" s="3">
        <f t="shared" si="21"/>
        <v>0.41799999999999998</v>
      </c>
      <c r="U62" s="3">
        <f t="shared" si="21"/>
        <v>0.55000000000000004</v>
      </c>
      <c r="V62" s="3">
        <f t="shared" si="21"/>
        <v>0.22886540600667407</v>
      </c>
      <c r="W62" s="3">
        <f t="shared" si="21"/>
        <v>0.28999999999999998</v>
      </c>
      <c r="X62" s="3">
        <f t="shared" si="21"/>
        <v>0.43709677419354837</v>
      </c>
      <c r="Y62" s="3"/>
      <c r="Z62" s="3"/>
      <c r="AA62" s="3">
        <v>0</v>
      </c>
      <c r="AB62" s="3">
        <f>+AB61/AB60</f>
        <v>0.77849999999999997</v>
      </c>
      <c r="AC62" s="3">
        <f>+AC61/AC60</f>
        <v>0.63</v>
      </c>
      <c r="AD62" s="3">
        <f>+AD61/AD60</f>
        <v>0.14516129032258066</v>
      </c>
      <c r="AE62" s="3">
        <f>+AE61/AE60</f>
        <v>0.52718159619586169</v>
      </c>
      <c r="AF62" s="3">
        <f>+AF61/AF60</f>
        <v>0.32703003337041159</v>
      </c>
      <c r="AG62" s="3"/>
      <c r="AH62" s="3">
        <f>+AH61/AH60</f>
        <v>0.50917141049968373</v>
      </c>
      <c r="AI62" s="3">
        <f>+AI61/AI60</f>
        <v>0.82795698924731187</v>
      </c>
      <c r="AJ62" s="3">
        <v>0</v>
      </c>
      <c r="AK62" s="6">
        <f t="shared" ref="AK62:AQ62" si="22">+AK61/AK60</f>
        <v>0.45337281604766455</v>
      </c>
      <c r="AL62" s="3">
        <f t="shared" si="22"/>
        <v>0.39649327042645016</v>
      </c>
      <c r="AM62" s="3">
        <f t="shared" si="22"/>
        <v>0.57195564011415412</v>
      </c>
      <c r="AN62" s="3">
        <f t="shared" si="22"/>
        <v>0.51377222403126022</v>
      </c>
      <c r="AO62" s="3">
        <f t="shared" si="22"/>
        <v>0.58785240963855423</v>
      </c>
      <c r="AP62" s="3">
        <f t="shared" si="22"/>
        <v>0.43894962092443796</v>
      </c>
      <c r="AQ62" s="3">
        <f t="shared" si="22"/>
        <v>0.32024248704663211</v>
      </c>
    </row>
    <row r="63" spans="1:46" x14ac:dyDescent="0.2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>
        <v>1</v>
      </c>
      <c r="L63" s="20">
        <v>1</v>
      </c>
      <c r="M63" s="20"/>
      <c r="N63" s="20">
        <v>1</v>
      </c>
      <c r="O63" s="20"/>
      <c r="P63" s="20">
        <v>1</v>
      </c>
      <c r="Q63" s="20">
        <v>1</v>
      </c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/>
      <c r="AH63" s="20">
        <v>1</v>
      </c>
      <c r="AI63" s="20">
        <v>1</v>
      </c>
      <c r="AJ63" s="20"/>
      <c r="AK63" s="19">
        <f>SUM(C63:AJ63)</f>
        <v>25</v>
      </c>
      <c r="AL63" s="20">
        <f>+AB63+Q63+V63+AC63+AE63+AG63+S63</f>
        <v>6</v>
      </c>
      <c r="AM63" s="20">
        <f>+C63+E63+I63+N63+P63+R63+X63+D63+AI63+W63+AF63</f>
        <v>9</v>
      </c>
      <c r="AN63" s="20">
        <f>+B63+F63+O63+Y63+AD63+AJ63+AH63+K63+L63+U63+T63+Z63+AA63+M63+J63+H63+G63</f>
        <v>10</v>
      </c>
      <c r="AO63" s="20">
        <f>+P63+U63+X63+AJ63+N63+I63+F63</f>
        <v>6</v>
      </c>
      <c r="AP63" s="20">
        <f>+B63+C63+J63+K63+L63+O63+Q63+R63+V63+Y63+AB63+AC63+AD63+AE63+AG63+AH63+S63+D63+AI63+W63+M63+E63+G63+AF63</f>
        <v>17</v>
      </c>
      <c r="AQ63" s="20">
        <f>+AA63+Z63+T63+H63</f>
        <v>2</v>
      </c>
    </row>
    <row r="64" spans="1:46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19"/>
      <c r="AL64" s="20"/>
      <c r="AM64" s="20"/>
      <c r="AN64" s="20"/>
      <c r="AO64" s="20"/>
      <c r="AP64" s="20"/>
      <c r="AQ64" s="20"/>
    </row>
    <row r="65" spans="1:44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G65" s="1"/>
      <c r="AK65" s="5"/>
    </row>
    <row r="66" spans="1:44" x14ac:dyDescent="0.2">
      <c r="A66" t="s">
        <v>1</v>
      </c>
      <c r="B66" s="38">
        <v>420</v>
      </c>
      <c r="C66" s="38">
        <v>1590</v>
      </c>
      <c r="D66" s="38"/>
      <c r="E66" s="38"/>
      <c r="F66" s="38">
        <v>3270</v>
      </c>
      <c r="G66" s="38">
        <v>510</v>
      </c>
      <c r="H66" s="38">
        <v>420</v>
      </c>
      <c r="I66" s="38">
        <v>2460</v>
      </c>
      <c r="J66" s="38">
        <v>1710</v>
      </c>
      <c r="K66" s="38">
        <v>1140</v>
      </c>
      <c r="L66" s="38">
        <v>750</v>
      </c>
      <c r="M66" s="38"/>
      <c r="N66" s="38">
        <v>2160</v>
      </c>
      <c r="O66" s="38">
        <v>330</v>
      </c>
      <c r="P66" s="38">
        <v>2940</v>
      </c>
      <c r="Q66" s="38">
        <v>7980</v>
      </c>
      <c r="R66" s="38">
        <v>3330</v>
      </c>
      <c r="S66" s="38">
        <v>6300</v>
      </c>
      <c r="T66" s="38">
        <v>1380</v>
      </c>
      <c r="U66" s="38">
        <v>750</v>
      </c>
      <c r="V66" s="38">
        <v>13920</v>
      </c>
      <c r="W66" s="38">
        <v>1740</v>
      </c>
      <c r="X66" s="38">
        <v>1266</v>
      </c>
      <c r="Y66" s="38"/>
      <c r="Z66" s="38"/>
      <c r="AA66" s="38"/>
      <c r="AB66" s="38">
        <v>5400</v>
      </c>
      <c r="AC66" s="38">
        <v>11790</v>
      </c>
      <c r="AD66" s="38">
        <v>390</v>
      </c>
      <c r="AE66" s="38">
        <v>7350</v>
      </c>
      <c r="AF66" s="38">
        <v>1796</v>
      </c>
      <c r="AG66" s="38"/>
      <c r="AH66" s="38">
        <v>1530</v>
      </c>
      <c r="AI66" s="38">
        <v>5310</v>
      </c>
      <c r="AJ66" s="38">
        <f>1054/31*30</f>
        <v>1020</v>
      </c>
      <c r="AK66" s="5">
        <f>SUM(C66:AJ66)</f>
        <v>88532</v>
      </c>
      <c r="AL66">
        <f>+AB66+Q66+V66+AC66+AE66+AG66+S66</f>
        <v>52740</v>
      </c>
      <c r="AM66" s="20">
        <f>+C66+E66+I66+N66+P66+R66+X66+D66+AI66+W66+AF66</f>
        <v>22592</v>
      </c>
      <c r="AN66">
        <f>+B66+F66+O66+Y66+AD66+AJ66+AH66+K66+L66+U66+T66+Z66+AA66+M66+J66+H66+G66</f>
        <v>13620</v>
      </c>
      <c r="AO66">
        <f>+P66+U66+X66+AJ66+N66+I66+F66</f>
        <v>13866</v>
      </c>
      <c r="AP66" s="20">
        <f>+B66+C66+J66+K66+L66+O66+Q66+R66+V66+Y66+AB66+AC66+AD66+AE66+AG66+AH66+S66+D66+AI66+W66+M66+E66+G66+AF66</f>
        <v>73286</v>
      </c>
      <c r="AQ66">
        <f>+AA66+Z66+T66+H66</f>
        <v>1800</v>
      </c>
      <c r="AR66">
        <f>+AL66+AM66+AN66</f>
        <v>88952</v>
      </c>
    </row>
    <row r="67" spans="1:44" x14ac:dyDescent="0.2">
      <c r="A67" t="s">
        <v>2</v>
      </c>
      <c r="B67" s="38">
        <v>50</v>
      </c>
      <c r="C67" s="38">
        <f>+C66*0.35</f>
        <v>556.5</v>
      </c>
      <c r="D67" s="38"/>
      <c r="E67" s="38"/>
      <c r="F67" s="38">
        <f>+F66*0.58</f>
        <v>1896.6</v>
      </c>
      <c r="G67" s="38">
        <v>326</v>
      </c>
      <c r="H67" s="38">
        <f>+H66*0.268</f>
        <v>112.56</v>
      </c>
      <c r="I67" s="38">
        <f>+I66*0.56</f>
        <v>1377.6000000000001</v>
      </c>
      <c r="J67" s="38">
        <f>+J66*0.93</f>
        <v>1590.3000000000002</v>
      </c>
      <c r="K67" s="38">
        <v>967</v>
      </c>
      <c r="L67" s="38">
        <f>+L66*0.8</f>
        <v>600</v>
      </c>
      <c r="M67" s="38"/>
      <c r="N67" s="38">
        <v>786</v>
      </c>
      <c r="O67" s="38">
        <v>70</v>
      </c>
      <c r="P67" s="38">
        <v>2671</v>
      </c>
      <c r="Q67" s="38">
        <f>+Q66*0.121</f>
        <v>965.57999999999993</v>
      </c>
      <c r="R67" s="38">
        <v>1901</v>
      </c>
      <c r="S67" s="38">
        <f>+S66*0.555</f>
        <v>3496.5000000000005</v>
      </c>
      <c r="T67" s="38">
        <f>+T66*0.389</f>
        <v>536.82000000000005</v>
      </c>
      <c r="U67" s="38">
        <f>+U66*0.6</f>
        <v>450</v>
      </c>
      <c r="V67" s="38">
        <v>5044</v>
      </c>
      <c r="W67" s="38">
        <f>+W66*0.36</f>
        <v>626.4</v>
      </c>
      <c r="X67" s="38">
        <v>820</v>
      </c>
      <c r="Y67" s="38"/>
      <c r="Z67" s="38"/>
      <c r="AA67" s="38"/>
      <c r="AB67" s="38">
        <f>+AB66*0.8665</f>
        <v>4679.1000000000004</v>
      </c>
      <c r="AC67" s="38">
        <f>+AC66*0.73</f>
        <v>8606.6999999999989</v>
      </c>
      <c r="AD67" s="38">
        <v>196</v>
      </c>
      <c r="AE67" s="38">
        <v>5040</v>
      </c>
      <c r="AF67" s="38">
        <v>1068</v>
      </c>
      <c r="AG67" s="38"/>
      <c r="AH67" s="38">
        <v>486</v>
      </c>
      <c r="AI67" s="38">
        <v>4586</v>
      </c>
      <c r="AJ67" s="38">
        <f>+AJ66*0.2702</f>
        <v>275.60399999999998</v>
      </c>
      <c r="AK67" s="5">
        <f>SUM(C67:AJ67)</f>
        <v>49731.264000000003</v>
      </c>
      <c r="AL67">
        <f>+AB67+Q67+V67+AC67+AE67+AG67+S67</f>
        <v>27831.879999999997</v>
      </c>
      <c r="AM67" s="20">
        <f>+C67+E67+I67+N67+P67+R67+X67+D67+AI67+W67+AF67</f>
        <v>14392.5</v>
      </c>
      <c r="AN67">
        <f>+B67+F67+O67+Y67+AD67+AJ67+AH67+K67+L67+U67+T67+Z67+AA67+M67+J67+H67+G67</f>
        <v>7556.884</v>
      </c>
      <c r="AO67">
        <f>+P67+U67+X67+AJ67+N67+I67+F67</f>
        <v>8276.8040000000001</v>
      </c>
      <c r="AP67" s="20">
        <f>+B67+C67+J67+K67+L67+O67+Q67+R67+V67+Y67+AB67+AC67+AD67+AE67+AG67+AH67+S67+D67+AI67+W67+M67+E67+G67+AF67</f>
        <v>40855.08</v>
      </c>
      <c r="AQ67">
        <f>+AA67+Z67+T67+H67</f>
        <v>649.38000000000011</v>
      </c>
      <c r="AR67">
        <f>+AL67+AM67+AN67</f>
        <v>49781.263999999996</v>
      </c>
    </row>
    <row r="68" spans="1:44" x14ac:dyDescent="0.2">
      <c r="A68" t="s">
        <v>4</v>
      </c>
      <c r="B68" s="3">
        <f>+B67/B66</f>
        <v>0.11904761904761904</v>
      </c>
      <c r="C68" s="3">
        <f>+C67/C66</f>
        <v>0.35</v>
      </c>
      <c r="D68" s="3"/>
      <c r="E68" s="3">
        <v>0</v>
      </c>
      <c r="F68" s="3">
        <f t="shared" ref="F68:X68" si="23">+F67/F66</f>
        <v>0.57999999999999996</v>
      </c>
      <c r="G68" s="3">
        <f t="shared" si="23"/>
        <v>0.63921568627450975</v>
      </c>
      <c r="H68" s="3">
        <f t="shared" si="23"/>
        <v>0.26800000000000002</v>
      </c>
      <c r="I68" s="3">
        <f t="shared" si="23"/>
        <v>0.56000000000000005</v>
      </c>
      <c r="J68" s="3">
        <f t="shared" si="23"/>
        <v>0.93000000000000016</v>
      </c>
      <c r="K68" s="3">
        <f t="shared" si="23"/>
        <v>0.84824561403508769</v>
      </c>
      <c r="L68" s="3">
        <f t="shared" si="23"/>
        <v>0.8</v>
      </c>
      <c r="M68" s="3" t="e">
        <f t="shared" si="23"/>
        <v>#DIV/0!</v>
      </c>
      <c r="N68" s="3">
        <f t="shared" si="23"/>
        <v>0.36388888888888887</v>
      </c>
      <c r="O68" s="3">
        <f t="shared" si="23"/>
        <v>0.21212121212121213</v>
      </c>
      <c r="P68" s="3">
        <f t="shared" si="23"/>
        <v>0.90850340136054419</v>
      </c>
      <c r="Q68" s="3">
        <f t="shared" si="23"/>
        <v>0.121</v>
      </c>
      <c r="R68" s="3">
        <f t="shared" si="23"/>
        <v>0.57087087087087085</v>
      </c>
      <c r="S68" s="3">
        <f t="shared" si="23"/>
        <v>0.55500000000000005</v>
      </c>
      <c r="T68" s="3">
        <f t="shared" si="23"/>
        <v>0.38900000000000001</v>
      </c>
      <c r="U68" s="3">
        <f t="shared" si="23"/>
        <v>0.6</v>
      </c>
      <c r="V68" s="3">
        <f t="shared" si="23"/>
        <v>0.36235632183908045</v>
      </c>
      <c r="W68" s="3">
        <f t="shared" si="23"/>
        <v>0.36</v>
      </c>
      <c r="X68" s="3">
        <f t="shared" si="23"/>
        <v>0.64770932069510267</v>
      </c>
      <c r="Y68" s="3"/>
      <c r="Z68" s="3"/>
      <c r="AA68" s="3">
        <v>0</v>
      </c>
      <c r="AB68" s="3">
        <f>+AB67/AB66</f>
        <v>0.86650000000000005</v>
      </c>
      <c r="AC68" s="3">
        <f>+AC67/AC66</f>
        <v>0.72999999999999987</v>
      </c>
      <c r="AD68" s="3">
        <f>+AD67/AD66</f>
        <v>0.50256410256410255</v>
      </c>
      <c r="AE68" s="3">
        <f>+AE67/AE66</f>
        <v>0.68571428571428572</v>
      </c>
      <c r="AF68" s="3">
        <f>+AF67/AF66</f>
        <v>0.59465478841870822</v>
      </c>
      <c r="AG68" s="3"/>
      <c r="AH68" s="3">
        <f t="shared" ref="AH68:AQ68" si="24">+AH67/AH66</f>
        <v>0.31764705882352939</v>
      </c>
      <c r="AI68" s="3">
        <f t="shared" si="24"/>
        <v>0.863653483992467</v>
      </c>
      <c r="AJ68" s="3">
        <f t="shared" si="24"/>
        <v>0.2702</v>
      </c>
      <c r="AK68" s="6">
        <f t="shared" si="24"/>
        <v>0.56173207427822713</v>
      </c>
      <c r="AL68" s="3">
        <f t="shared" si="24"/>
        <v>0.52771861964353428</v>
      </c>
      <c r="AM68" s="3">
        <f t="shared" si="24"/>
        <v>0.63706179178470257</v>
      </c>
      <c r="AN68" s="3">
        <f t="shared" si="24"/>
        <v>0.55483729809104254</v>
      </c>
      <c r="AO68" s="3">
        <f t="shared" si="24"/>
        <v>0.59691360161546225</v>
      </c>
      <c r="AP68" s="3">
        <f t="shared" si="24"/>
        <v>0.55747455175613347</v>
      </c>
      <c r="AQ68" s="3">
        <f t="shared" si="24"/>
        <v>0.36076666666666674</v>
      </c>
    </row>
    <row r="69" spans="1:44" x14ac:dyDescent="0.2">
      <c r="A69" s="20"/>
      <c r="B69" s="39">
        <v>1</v>
      </c>
      <c r="C69" s="39">
        <v>1</v>
      </c>
      <c r="D69" s="39"/>
      <c r="E69" s="39"/>
      <c r="F69" s="39">
        <v>1</v>
      </c>
      <c r="G69" s="39">
        <v>1</v>
      </c>
      <c r="H69" s="39">
        <v>1</v>
      </c>
      <c r="I69" s="39">
        <v>1</v>
      </c>
      <c r="J69" s="39">
        <v>1</v>
      </c>
      <c r="K69" s="39">
        <v>1</v>
      </c>
      <c r="L69" s="39">
        <v>1</v>
      </c>
      <c r="M69" s="39"/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/>
      <c r="Z69" s="39"/>
      <c r="AA69" s="39"/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/>
      <c r="AH69" s="39">
        <v>1</v>
      </c>
      <c r="AI69" s="39">
        <v>1</v>
      </c>
      <c r="AJ69" s="39">
        <v>1</v>
      </c>
      <c r="AK69" s="19">
        <f>SUM(B69:AJ69)</f>
        <v>28</v>
      </c>
      <c r="AL69" s="20">
        <f>+AB69+Q69+V69+AC69+AE69+AG69+S69</f>
        <v>6</v>
      </c>
      <c r="AM69" s="20">
        <f>+C69+E69+I69+N69+P69+R69+X69+D69+AI69+W69+AF69</f>
        <v>9</v>
      </c>
      <c r="AN69" s="20">
        <f>+B69+F69+O69+Y69+AD69+AJ69+AH69+K69+L69+U69+T69+Z69+AA69+M69+J69+H69+G69</f>
        <v>13</v>
      </c>
      <c r="AO69" s="20">
        <f>+P69+U69+X69+AJ69+N69+I69+F69</f>
        <v>7</v>
      </c>
      <c r="AP69" s="20">
        <f>+B69+C69+J69+K69+L69+O69+Q69+R69+V69+Y69+AB69+AC69+AD69+AE69+AG69+AH69+S69+D69+AI69+W69+M69+E69+G69+AF69</f>
        <v>19</v>
      </c>
      <c r="AQ69" s="20">
        <f>+AA69+Z69+T69+H69</f>
        <v>2</v>
      </c>
    </row>
    <row r="70" spans="1:44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19"/>
      <c r="AL70" s="20"/>
      <c r="AM70" s="20"/>
      <c r="AN70" s="20"/>
      <c r="AO70" s="20"/>
      <c r="AP70" s="20"/>
      <c r="AQ70" s="20"/>
    </row>
    <row r="71" spans="1:44" x14ac:dyDescent="0.2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5"/>
    </row>
    <row r="72" spans="1:44" x14ac:dyDescent="0.2">
      <c r="A72" t="s">
        <v>1</v>
      </c>
      <c r="B72" s="38">
        <f>420/30*31</f>
        <v>434</v>
      </c>
      <c r="C72" s="38">
        <v>1643</v>
      </c>
      <c r="D72" s="38"/>
      <c r="E72" s="38"/>
      <c r="F72" s="38">
        <v>3379</v>
      </c>
      <c r="G72" s="38">
        <v>527</v>
      </c>
      <c r="H72" s="38">
        <v>504</v>
      </c>
      <c r="I72" s="38">
        <v>1312</v>
      </c>
      <c r="J72" s="38">
        <v>1767</v>
      </c>
      <c r="K72" s="38">
        <v>1178</v>
      </c>
      <c r="L72" s="38">
        <v>775</v>
      </c>
      <c r="M72" s="38"/>
      <c r="N72" s="38">
        <v>2232</v>
      </c>
      <c r="O72" s="38">
        <v>806</v>
      </c>
      <c r="P72" s="38">
        <v>3038</v>
      </c>
      <c r="Q72" s="38">
        <v>8246</v>
      </c>
      <c r="R72" s="38">
        <v>3441</v>
      </c>
      <c r="S72" s="38">
        <v>6510</v>
      </c>
      <c r="T72" s="38">
        <v>1426</v>
      </c>
      <c r="U72" s="38">
        <v>775</v>
      </c>
      <c r="V72" s="38">
        <v>14384</v>
      </c>
      <c r="W72" s="38">
        <v>1798</v>
      </c>
      <c r="X72" s="38">
        <f>1266/30*31</f>
        <v>1308.2</v>
      </c>
      <c r="Y72" s="38"/>
      <c r="Z72" s="38"/>
      <c r="AA72" s="38"/>
      <c r="AB72" s="38">
        <v>5580</v>
      </c>
      <c r="AC72" s="38">
        <v>12183</v>
      </c>
      <c r="AD72" s="38">
        <f>12*31</f>
        <v>372</v>
      </c>
      <c r="AE72" s="38">
        <v>7595</v>
      </c>
      <c r="AF72" s="38">
        <v>1851</v>
      </c>
      <c r="AG72" s="38"/>
      <c r="AH72" s="38">
        <v>1581</v>
      </c>
      <c r="AI72" s="38">
        <v>5487</v>
      </c>
      <c r="AJ72" s="38">
        <f>1020/30*31</f>
        <v>1054</v>
      </c>
      <c r="AK72" s="5">
        <f>SUM(B72:AJ72)</f>
        <v>91186.2</v>
      </c>
      <c r="AL72">
        <f>+AB72+Q72+V72+AC72+AE72+AG72+S72</f>
        <v>54498</v>
      </c>
      <c r="AM72" s="20">
        <f>+C72+E72+I72+N72+P72+R72+X72+D72+AI72+W72+AF72</f>
        <v>22110.2</v>
      </c>
      <c r="AN72">
        <f>+B72+F72+O72+Y72+AD72+AJ72+AH72+K72+L72+U72+T72+Z72+AA72+M72+J72+H72+G72</f>
        <v>14578</v>
      </c>
      <c r="AO72">
        <f>+P72+U72+X72+AJ72+N72+I72+F72</f>
        <v>13098.2</v>
      </c>
      <c r="AP72" s="20">
        <f>+B72+C72+J72+K72+L72+O72+Q72+R72+V72+Y72+AB72+AC72+AD72+AE72+AG72+AH72+S72+D72+AI72+W72+M72+E72+G72+AF72</f>
        <v>76158</v>
      </c>
      <c r="AQ72">
        <f>+AA72+Z72+T72+H72</f>
        <v>1930</v>
      </c>
      <c r="AR72">
        <f>+AL72+AM72+AN72</f>
        <v>91186.2</v>
      </c>
    </row>
    <row r="73" spans="1:44" x14ac:dyDescent="0.2">
      <c r="A73" t="s">
        <v>2</v>
      </c>
      <c r="B73" s="38">
        <v>205</v>
      </c>
      <c r="C73" s="38">
        <f>+Sheet2011!C72*0.43</f>
        <v>706.49</v>
      </c>
      <c r="D73" s="38"/>
      <c r="E73" s="38"/>
      <c r="F73" s="38">
        <f>+F72*0.59</f>
        <v>1993.61</v>
      </c>
      <c r="G73" s="38">
        <v>348</v>
      </c>
      <c r="H73" s="38">
        <v>282</v>
      </c>
      <c r="I73" s="38">
        <f>+I72*0.751</f>
        <v>985.31200000000001</v>
      </c>
      <c r="J73" s="38">
        <f>+J72*0.94</f>
        <v>1660.98</v>
      </c>
      <c r="K73" s="38">
        <v>883</v>
      </c>
      <c r="L73" s="38">
        <f>+L72*0.8</f>
        <v>620</v>
      </c>
      <c r="M73" s="38"/>
      <c r="N73" s="38">
        <v>1250</v>
      </c>
      <c r="O73" s="38">
        <v>343</v>
      </c>
      <c r="P73" s="38">
        <v>2503</v>
      </c>
      <c r="Q73" s="38">
        <f>+Q72*0.296</f>
        <v>2440.8159999999998</v>
      </c>
      <c r="R73" s="38">
        <f>+R72*0.442</f>
        <v>1520.922</v>
      </c>
      <c r="S73" s="38">
        <f>+S72*0.313</f>
        <v>2037.63</v>
      </c>
      <c r="T73" s="38">
        <f>+T72*0.301</f>
        <v>429.226</v>
      </c>
      <c r="U73" s="38">
        <f>+U72*0.62</f>
        <v>480.5</v>
      </c>
      <c r="V73" s="38">
        <v>5254</v>
      </c>
      <c r="W73" s="38">
        <f>+W72*0.44</f>
        <v>791.12</v>
      </c>
      <c r="X73" s="38">
        <f>+X72*0.661</f>
        <v>864.72020000000009</v>
      </c>
      <c r="Y73" s="38"/>
      <c r="Z73" s="38"/>
      <c r="AA73" s="38"/>
      <c r="AB73" s="38">
        <v>4304</v>
      </c>
      <c r="AC73" s="38">
        <v>7321</v>
      </c>
      <c r="AD73" s="38">
        <v>270</v>
      </c>
      <c r="AE73" s="38">
        <v>5992</v>
      </c>
      <c r="AF73" s="38">
        <v>1122</v>
      </c>
      <c r="AG73" s="38"/>
      <c r="AH73" s="38">
        <v>512</v>
      </c>
      <c r="AI73" s="38">
        <v>4088</v>
      </c>
      <c r="AJ73" s="38">
        <f>+AJ72*0.6578</f>
        <v>693.32120000000009</v>
      </c>
      <c r="AK73" s="5">
        <f>SUM(B73:AJ73)</f>
        <v>49901.647399999994</v>
      </c>
      <c r="AL73">
        <f>+AB73+Q73+V73+AC73+AE73+AG73+S73</f>
        <v>27349.446</v>
      </c>
      <c r="AM73" s="20">
        <f>+C73+E73+I73+N73+P73+R73+X73+D73+AI73+W73+AF73</f>
        <v>13831.564200000001</v>
      </c>
      <c r="AN73">
        <f>+B73+F73+O73+Y73+AD73+AJ73+AH73+K73+L73+U73+T73+Z73+AA73+M73+J73+H73+G73</f>
        <v>8720.6371999999992</v>
      </c>
      <c r="AO73">
        <f>+P73+U73+X73+AJ73+N73+I73+F73</f>
        <v>8770.4634000000005</v>
      </c>
      <c r="AP73" s="20">
        <f>+B73+C73+J73+K73+L73+O73+Q73+R73+V73+Y73+AB73+AC73+AD73+AE73+AG73+AH73+S73+D73+AI73+W73+M73+E73+G73+AF73</f>
        <v>40419.957999999999</v>
      </c>
      <c r="AQ73">
        <f>+AA73+Z73+T73+H73</f>
        <v>711.226</v>
      </c>
      <c r="AR73">
        <f>+AL73+AM73+AN73</f>
        <v>49901.647400000002</v>
      </c>
    </row>
    <row r="74" spans="1:44" x14ac:dyDescent="0.2">
      <c r="A74" t="s">
        <v>4</v>
      </c>
      <c r="B74" s="3">
        <f>+B73/B72</f>
        <v>0.47235023041474655</v>
      </c>
      <c r="C74" s="3">
        <f>+C73/C72</f>
        <v>0.43</v>
      </c>
      <c r="D74" s="3"/>
      <c r="E74" s="3">
        <v>0</v>
      </c>
      <c r="F74" s="3">
        <f t="shared" ref="F74:X74" si="25">+F73/F72</f>
        <v>0.59</v>
      </c>
      <c r="G74" s="3">
        <f t="shared" si="25"/>
        <v>0.66034155597722966</v>
      </c>
      <c r="H74" s="3">
        <f t="shared" si="25"/>
        <v>0.55952380952380953</v>
      </c>
      <c r="I74" s="3">
        <f t="shared" si="25"/>
        <v>0.751</v>
      </c>
      <c r="J74" s="3">
        <f t="shared" si="25"/>
        <v>0.94000000000000006</v>
      </c>
      <c r="K74" s="3">
        <f t="shared" si="25"/>
        <v>0.74957555178268254</v>
      </c>
      <c r="L74" s="3">
        <f t="shared" si="25"/>
        <v>0.8</v>
      </c>
      <c r="M74" s="3" t="e">
        <f t="shared" si="25"/>
        <v>#DIV/0!</v>
      </c>
      <c r="N74" s="3">
        <f t="shared" si="25"/>
        <v>0.56003584229390679</v>
      </c>
      <c r="O74" s="3">
        <f t="shared" si="25"/>
        <v>0.42555831265508687</v>
      </c>
      <c r="P74" s="3">
        <f t="shared" si="25"/>
        <v>0.82389730085582624</v>
      </c>
      <c r="Q74" s="3">
        <f t="shared" si="25"/>
        <v>0.29599999999999999</v>
      </c>
      <c r="R74" s="3">
        <f t="shared" si="25"/>
        <v>0.442</v>
      </c>
      <c r="S74" s="3">
        <f t="shared" si="25"/>
        <v>0.313</v>
      </c>
      <c r="T74" s="3">
        <f t="shared" si="25"/>
        <v>0.30099999999999999</v>
      </c>
      <c r="U74" s="3">
        <f t="shared" si="25"/>
        <v>0.62</v>
      </c>
      <c r="V74" s="3">
        <f t="shared" si="25"/>
        <v>0.36526696329254726</v>
      </c>
      <c r="W74" s="3">
        <f t="shared" si="25"/>
        <v>0.44</v>
      </c>
      <c r="X74" s="3">
        <f t="shared" si="25"/>
        <v>0.66100000000000003</v>
      </c>
      <c r="Y74" s="3"/>
      <c r="Z74" s="3"/>
      <c r="AA74" s="3">
        <v>0</v>
      </c>
      <c r="AB74" s="3">
        <f t="shared" ref="AB74:AI74" si="26">+AB73/AB72</f>
        <v>0.77132616487455197</v>
      </c>
      <c r="AC74" s="3">
        <f t="shared" si="26"/>
        <v>0.60091931379791508</v>
      </c>
      <c r="AD74" s="3">
        <f t="shared" si="26"/>
        <v>0.72580645161290325</v>
      </c>
      <c r="AE74" s="3">
        <f t="shared" si="26"/>
        <v>0.78894009216589867</v>
      </c>
      <c r="AF74" s="3">
        <f t="shared" si="26"/>
        <v>0.60615883306320906</v>
      </c>
      <c r="AG74" s="3"/>
      <c r="AH74" s="3">
        <f t="shared" si="26"/>
        <v>0.32384566729917774</v>
      </c>
      <c r="AI74" s="3">
        <f t="shared" si="26"/>
        <v>0.74503371605613267</v>
      </c>
      <c r="AJ74" s="3">
        <f t="shared" ref="AJ74:AQ74" si="27">+AJ73/AJ72</f>
        <v>0.65780000000000005</v>
      </c>
      <c r="AK74" s="6">
        <f t="shared" si="27"/>
        <v>0.54724999396838547</v>
      </c>
      <c r="AL74" s="3">
        <f t="shared" si="27"/>
        <v>0.50184311350875266</v>
      </c>
      <c r="AM74" s="3">
        <f t="shared" si="27"/>
        <v>0.6255739070655173</v>
      </c>
      <c r="AN74" s="3">
        <f t="shared" si="27"/>
        <v>0.59820532308958696</v>
      </c>
      <c r="AO74" s="3">
        <f t="shared" si="27"/>
        <v>0.6695930280496557</v>
      </c>
      <c r="AP74" s="3">
        <f t="shared" si="27"/>
        <v>0.53073817589747629</v>
      </c>
      <c r="AQ74" s="3">
        <f t="shared" si="27"/>
        <v>0.36851088082901556</v>
      </c>
    </row>
    <row r="75" spans="1:44" x14ac:dyDescent="0.2">
      <c r="A75" s="20"/>
      <c r="B75" s="20">
        <v>1</v>
      </c>
      <c r="C75" s="20">
        <v>1</v>
      </c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>
        <v>1</v>
      </c>
      <c r="L75" s="20">
        <v>1</v>
      </c>
      <c r="M75" s="20"/>
      <c r="N75" s="20">
        <v>1</v>
      </c>
      <c r="O75" s="20">
        <v>1</v>
      </c>
      <c r="P75" s="20">
        <v>1</v>
      </c>
      <c r="Q75" s="20">
        <v>1</v>
      </c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/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/>
      <c r="AH75" s="20">
        <v>1</v>
      </c>
      <c r="AI75" s="20">
        <v>1</v>
      </c>
      <c r="AJ75" s="20">
        <v>1</v>
      </c>
      <c r="AK75" s="19">
        <f>SUM(B75:AJ75)</f>
        <v>28</v>
      </c>
      <c r="AL75" s="20">
        <f>+AB75+Q75+V75+AC75+AE75+AG75+S75</f>
        <v>6</v>
      </c>
      <c r="AM75" s="20">
        <f>+C75+E75+I75+N75+P75+R75+X75+D75+AI75+W75+AF75</f>
        <v>9</v>
      </c>
      <c r="AN75" s="20">
        <f>+B75+F75+O75+Y75+AD75+AJ75+AH75+K75+L75+U75+T75+Z75+AA75+M75+J75+H75+G75</f>
        <v>13</v>
      </c>
      <c r="AO75" s="20">
        <f>+P75+U75+X75+AJ75+N75+I75+F75</f>
        <v>7</v>
      </c>
      <c r="AP75" s="20">
        <f>+B75+C75+J75+K75+L75+O75+Q75+R75+V75+Y75+AB75+AC75+AD75+AE75+AG75+AH75+S75+D75+AI75+W75+M75+E75+G75+AF75</f>
        <v>19</v>
      </c>
      <c r="AQ75" s="20">
        <f>+AA75+Z75+T75+H75</f>
        <v>2</v>
      </c>
    </row>
    <row r="76" spans="1:44" x14ac:dyDescent="0.2">
      <c r="A76" t="s">
        <v>61</v>
      </c>
      <c r="AK76">
        <f t="shared" ref="AK76:AQ77" si="28">+AK6+AK12+AK18+AK24+AK30+AK36+AK42+AK48+AK54+AK60+AK66+AK72</f>
        <v>1056456.7019077318</v>
      </c>
      <c r="AL76">
        <f t="shared" si="28"/>
        <v>635998</v>
      </c>
      <c r="AM76">
        <f t="shared" si="28"/>
        <v>259073.50835934479</v>
      </c>
      <c r="AN76">
        <f t="shared" si="28"/>
        <v>161805.19354838709</v>
      </c>
      <c r="AO76">
        <f t="shared" si="28"/>
        <v>150109.50835934479</v>
      </c>
      <c r="AP76">
        <f t="shared" si="28"/>
        <v>884475.19354838715</v>
      </c>
      <c r="AQ76">
        <f t="shared" si="28"/>
        <v>22292</v>
      </c>
    </row>
    <row r="77" spans="1:44" x14ac:dyDescent="0.2">
      <c r="F77" s="31" t="s">
        <v>144</v>
      </c>
      <c r="P77">
        <f>+P6+P12+P18+P24+P30+P36+P42+P48</f>
        <v>23814</v>
      </c>
      <c r="AB77">
        <f>+AB6+AB12+AB18+AB24+AB30+AB36+AB42+AB48</f>
        <v>43740</v>
      </c>
      <c r="AC77">
        <f>+AC6+AC12+AC18+AC24+AC30+AC36+AC42+AC48</f>
        <v>95499</v>
      </c>
      <c r="AE77">
        <f>+AE6+AE12+AE18+AE24+AE30+AE36+AE42+AE48</f>
        <v>61027</v>
      </c>
      <c r="AI77">
        <f>+AI6+AI12+AI18+AI24+AI30+AI36+AI42+AI48</f>
        <v>43011</v>
      </c>
      <c r="AK77">
        <f t="shared" si="28"/>
        <v>607263.92339999997</v>
      </c>
      <c r="AL77">
        <f t="shared" si="28"/>
        <v>351028.77159999992</v>
      </c>
      <c r="AM77">
        <f t="shared" si="28"/>
        <v>159440.91759999999</v>
      </c>
      <c r="AN77">
        <f t="shared" si="28"/>
        <v>96844.234200000006</v>
      </c>
      <c r="AO77">
        <f t="shared" si="28"/>
        <v>93882.721799999999</v>
      </c>
      <c r="AP77">
        <f t="shared" si="28"/>
        <v>505122.07559999998</v>
      </c>
      <c r="AQ77">
        <f t="shared" si="28"/>
        <v>8309.1260000000002</v>
      </c>
    </row>
    <row r="78" spans="1:44" x14ac:dyDescent="0.2">
      <c r="P78">
        <f>+P7+P13+P19+P25+P31+P37+P43+P49</f>
        <v>20634</v>
      </c>
      <c r="AB78">
        <f>+AB7+AB13+AB19+AB25+AB31+AB37+AB43+AB49</f>
        <v>32624.946000000004</v>
      </c>
      <c r="AC78">
        <f>+AC7+AC13+AC19+AC25+AC31+AC37+AC43+AC49</f>
        <v>84842.883600000001</v>
      </c>
      <c r="AE78">
        <f>+AE7+AE13+AE19+AE25+AE31+AE37+AE43+AE49</f>
        <v>41632</v>
      </c>
      <c r="AI78">
        <f>+AI7+AI13+AI19+AI25+AI31+AI37+AI43+AI49</f>
        <v>35333</v>
      </c>
      <c r="AK78" s="6">
        <f t="shared" ref="AK78:AQ78" si="29">+AK77/AK76</f>
        <v>0.5748119372080398</v>
      </c>
      <c r="AL78" s="6">
        <f t="shared" si="29"/>
        <v>0.55193376645838499</v>
      </c>
      <c r="AM78" s="6">
        <f t="shared" si="29"/>
        <v>0.61542733029596131</v>
      </c>
      <c r="AN78" s="6">
        <f t="shared" si="29"/>
        <v>0.59852364486087517</v>
      </c>
      <c r="AO78" s="6">
        <f t="shared" si="29"/>
        <v>0.62542821454891206</v>
      </c>
      <c r="AP78" s="6">
        <f t="shared" si="29"/>
        <v>0.57109806954960818</v>
      </c>
      <c r="AQ78" s="6">
        <f t="shared" si="29"/>
        <v>0.37274026556612239</v>
      </c>
    </row>
    <row r="79" spans="1:44" x14ac:dyDescent="0.2">
      <c r="P79">
        <f>+P78/P77</f>
        <v>0.86646510456034265</v>
      </c>
      <c r="AB79">
        <f>+AB78/AB77</f>
        <v>0.74588353909465033</v>
      </c>
      <c r="AC79">
        <f>+AC78/AC77</f>
        <v>0.88841646090534976</v>
      </c>
      <c r="AE79">
        <f>+AE78/AE77</f>
        <v>0.68218985039408786</v>
      </c>
      <c r="AI79">
        <f>+AI78/AI77</f>
        <v>0.82148752644672296</v>
      </c>
    </row>
    <row r="82" spans="16:37" x14ac:dyDescent="0.2">
      <c r="AK82">
        <f>+AK6+AK12+AK18+AK24+AK30+AK36+AK42+AK48+AK54+AK60</f>
        <v>876738.50190773187</v>
      </c>
    </row>
    <row r="83" spans="16:37" x14ac:dyDescent="0.2">
      <c r="P83">
        <f>+P77+AB77+AC77+AE77+AI77</f>
        <v>267091</v>
      </c>
      <c r="AK83">
        <f>+AK7+AK13+AK19+AK25+AK31+AK37+AK43+AK49+AK55+AK61</f>
        <v>507631.01199999999</v>
      </c>
    </row>
    <row r="84" spans="16:37" x14ac:dyDescent="0.2">
      <c r="P84">
        <f>+P78+AB78+AC78+AE78+AI78</f>
        <v>215066.8296</v>
      </c>
      <c r="AK84">
        <f>+AK83/AK82</f>
        <v>0.57899933776767476</v>
      </c>
    </row>
    <row r="85" spans="16:37" x14ac:dyDescent="0.2">
      <c r="P85">
        <f>+P84/P83</f>
        <v>0.80521930577967804</v>
      </c>
    </row>
  </sheetData>
  <pageMargins left="0.74803149606299213" right="0.4" top="0.53" bottom="0.47" header="0.51181102362204722" footer="0.51181102362204722"/>
  <pageSetup scale="38" orientation="landscape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8"/>
  <sheetViews>
    <sheetView topLeftCell="A2" zoomScale="112" zoomScaleNormal="112" workbookViewId="0">
      <pane xSplit="1" ySplit="3" topLeftCell="AH10" activePane="bottomRight" state="frozen"/>
      <selection activeCell="A2" sqref="A2"/>
      <selection pane="topRight" activeCell="B2" sqref="B2"/>
      <selection pane="bottomLeft" activeCell="A5" sqref="A5"/>
      <selection pane="bottomRight" activeCell="AG51" sqref="AG51"/>
    </sheetView>
  </sheetViews>
  <sheetFormatPr defaultRowHeight="12.75" x14ac:dyDescent="0.2"/>
  <cols>
    <col min="1" max="1" width="16" customWidth="1"/>
    <col min="2" max="2" width="7.5703125" customWidth="1"/>
    <col min="3" max="7" width="6.28515625" customWidth="1"/>
    <col min="8" max="8" width="7.7109375" customWidth="1"/>
    <col min="9" max="10" width="6.28515625" customWidth="1"/>
    <col min="11" max="11" width="5.7109375" customWidth="1"/>
    <col min="12" max="14" width="6.28515625" customWidth="1"/>
    <col min="15" max="15" width="5.42578125" customWidth="1"/>
    <col min="16" max="16" width="6.5703125" customWidth="1"/>
    <col min="17" max="17" width="5.28515625" customWidth="1"/>
    <col min="18" max="19" width="6.28515625" customWidth="1"/>
    <col min="20" max="20" width="6.42578125" customWidth="1"/>
    <col min="21" max="22" width="5.28515625" customWidth="1"/>
    <col min="23" max="23" width="6.28515625" customWidth="1"/>
    <col min="24" max="24" width="6" customWidth="1"/>
    <col min="25" max="25" width="5.28515625" customWidth="1"/>
    <col min="26" max="26" width="5.7109375" customWidth="1"/>
    <col min="27" max="27" width="7.7109375" customWidth="1"/>
    <col min="28" max="28" width="8.140625" customWidth="1"/>
    <col min="29" max="29" width="5.140625" customWidth="1"/>
    <col min="30" max="30" width="6.7109375" customWidth="1"/>
    <col min="31" max="31" width="5.140625" customWidth="1"/>
    <col min="32" max="32" width="6.7109375" customWidth="1"/>
    <col min="33" max="33" width="6" customWidth="1"/>
    <col min="34" max="34" width="5.7109375" customWidth="1"/>
    <col min="35" max="35" width="9.85546875" customWidth="1"/>
    <col min="36" max="36" width="8.7109375" customWidth="1"/>
    <col min="37" max="37" width="8.42578125" customWidth="1"/>
    <col min="38" max="38" width="8.28515625" customWidth="1"/>
    <col min="39" max="39" width="8" customWidth="1"/>
    <col min="40" max="40" width="9.28515625" customWidth="1"/>
    <col min="41" max="41" width="7.85546875" customWidth="1"/>
  </cols>
  <sheetData>
    <row r="1" spans="1:44" x14ac:dyDescent="0.2">
      <c r="M1" t="s">
        <v>15</v>
      </c>
      <c r="U1" t="s">
        <v>15</v>
      </c>
      <c r="W1" t="s">
        <v>15</v>
      </c>
      <c r="Y1" t="s">
        <v>15</v>
      </c>
    </row>
    <row r="2" spans="1:44" x14ac:dyDescent="0.2">
      <c r="A2" t="s">
        <v>36</v>
      </c>
      <c r="B2" s="10"/>
      <c r="C2" s="10"/>
      <c r="D2" s="11"/>
      <c r="E2" s="10"/>
      <c r="F2" s="11"/>
      <c r="G2" s="10"/>
      <c r="H2" s="11"/>
      <c r="I2" s="11"/>
      <c r="J2" s="11"/>
      <c r="K2" s="11"/>
      <c r="L2" s="10"/>
      <c r="M2" s="10"/>
      <c r="N2" s="11"/>
      <c r="O2" s="11"/>
      <c r="P2" s="10"/>
      <c r="Q2" s="11"/>
      <c r="R2" s="12"/>
      <c r="S2" s="11"/>
      <c r="T2" s="12"/>
      <c r="U2" s="10"/>
      <c r="V2" s="10"/>
      <c r="W2" s="12"/>
      <c r="X2" s="12"/>
      <c r="Y2" s="11"/>
      <c r="Z2" s="10"/>
      <c r="AA2" s="12"/>
      <c r="AB2" s="12"/>
      <c r="AC2" s="10"/>
      <c r="AD2" s="12"/>
      <c r="AE2" s="12"/>
      <c r="AF2" s="10"/>
      <c r="AG2" s="10"/>
      <c r="AH2" s="10"/>
    </row>
    <row r="3" spans="1:44" x14ac:dyDescent="0.2">
      <c r="A3" t="s">
        <v>37</v>
      </c>
      <c r="B3" s="14"/>
      <c r="C3" s="14"/>
      <c r="D3" s="14"/>
      <c r="E3" s="13"/>
      <c r="F3" s="14"/>
      <c r="G3" s="15"/>
      <c r="H3" s="13"/>
      <c r="I3" s="13"/>
      <c r="J3" s="14"/>
      <c r="K3" s="14"/>
      <c r="L3" s="14"/>
      <c r="M3" s="14"/>
      <c r="N3" s="13"/>
      <c r="O3" s="13"/>
      <c r="P3" s="14"/>
      <c r="Q3" s="13"/>
      <c r="R3" s="14"/>
      <c r="S3" s="14"/>
      <c r="T3" s="14"/>
      <c r="U3" s="15"/>
      <c r="V3" s="13"/>
      <c r="W3" s="14"/>
      <c r="X3" s="14"/>
      <c r="Y3" s="13"/>
      <c r="Z3" s="15"/>
      <c r="AA3" s="14"/>
      <c r="AB3" s="14"/>
      <c r="AC3" s="14"/>
      <c r="AD3" s="14"/>
      <c r="AE3" s="14"/>
      <c r="AF3" s="14"/>
      <c r="AG3" s="14"/>
      <c r="AH3" s="13"/>
    </row>
    <row r="4" spans="1:44" ht="123" x14ac:dyDescent="0.2">
      <c r="B4" s="7" t="s">
        <v>24</v>
      </c>
      <c r="C4" s="7" t="s">
        <v>7</v>
      </c>
      <c r="D4" s="8" t="s">
        <v>39</v>
      </c>
      <c r="E4" s="8" t="s">
        <v>10</v>
      </c>
      <c r="F4" s="7" t="s">
        <v>96</v>
      </c>
      <c r="G4" s="7" t="s">
        <v>31</v>
      </c>
      <c r="H4" s="8" t="s">
        <v>19</v>
      </c>
      <c r="I4" s="8" t="s">
        <v>157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8" t="s">
        <v>159</v>
      </c>
      <c r="P4" s="7" t="s">
        <v>8</v>
      </c>
      <c r="Q4" s="8" t="s">
        <v>6</v>
      </c>
      <c r="R4" s="9" t="s">
        <v>16</v>
      </c>
      <c r="S4" s="8" t="s">
        <v>34</v>
      </c>
      <c r="T4" s="9" t="s">
        <v>55</v>
      </c>
      <c r="U4" s="7" t="s">
        <v>27</v>
      </c>
      <c r="V4" s="7" t="s">
        <v>38</v>
      </c>
      <c r="W4" s="9" t="s">
        <v>14</v>
      </c>
      <c r="X4" s="9" t="s">
        <v>126</v>
      </c>
      <c r="Y4" s="8" t="s">
        <v>28</v>
      </c>
      <c r="Z4" s="7" t="s">
        <v>30</v>
      </c>
      <c r="AA4" s="9" t="s">
        <v>33</v>
      </c>
      <c r="AB4" s="9" t="s">
        <v>9</v>
      </c>
      <c r="AC4" s="7" t="s">
        <v>20</v>
      </c>
      <c r="AD4" s="9" t="s">
        <v>32</v>
      </c>
      <c r="AE4" s="9" t="s">
        <v>120</v>
      </c>
      <c r="AF4" s="7" t="s">
        <v>5</v>
      </c>
      <c r="AG4" s="7" t="s">
        <v>68</v>
      </c>
      <c r="AH4" s="7" t="s">
        <v>11</v>
      </c>
      <c r="AI4" s="4" t="s">
        <v>13</v>
      </c>
      <c r="AJ4" s="1" t="s">
        <v>21</v>
      </c>
      <c r="AK4" s="1" t="s">
        <v>22</v>
      </c>
      <c r="AL4" s="1" t="s">
        <v>23</v>
      </c>
      <c r="AM4" s="1" t="s">
        <v>43</v>
      </c>
      <c r="AN4" s="1" t="s">
        <v>44</v>
      </c>
      <c r="AO4" s="1" t="s">
        <v>45</v>
      </c>
    </row>
    <row r="5" spans="1:44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1"/>
      <c r="AC5" s="1"/>
      <c r="AD5" s="1"/>
      <c r="AE5" s="1"/>
      <c r="AI5" s="5"/>
    </row>
    <row r="6" spans="1:44" x14ac:dyDescent="0.2">
      <c r="A6" t="s">
        <v>1</v>
      </c>
      <c r="B6" s="38">
        <f>18*31</f>
        <v>558</v>
      </c>
      <c r="C6" s="38">
        <v>1643</v>
      </c>
      <c r="D6" s="38"/>
      <c r="E6" s="38">
        <v>3379</v>
      </c>
      <c r="F6" s="38">
        <v>527</v>
      </c>
      <c r="G6" s="38">
        <v>434</v>
      </c>
      <c r="H6" s="38">
        <v>2542</v>
      </c>
      <c r="I6" s="38"/>
      <c r="J6" s="38">
        <v>1767</v>
      </c>
      <c r="K6" s="38">
        <v>1178</v>
      </c>
      <c r="L6" s="38">
        <v>775</v>
      </c>
      <c r="M6" s="38">
        <v>434</v>
      </c>
      <c r="N6" s="38">
        <v>2232</v>
      </c>
      <c r="O6" s="38"/>
      <c r="P6" s="38">
        <v>775</v>
      </c>
      <c r="Q6" s="38">
        <v>3038</v>
      </c>
      <c r="R6" s="38">
        <v>8246</v>
      </c>
      <c r="S6" s="38">
        <v>3441</v>
      </c>
      <c r="T6" s="38">
        <v>6510</v>
      </c>
      <c r="U6" s="38">
        <v>1426</v>
      </c>
      <c r="V6" s="38">
        <v>775</v>
      </c>
      <c r="W6" s="38">
        <v>14384</v>
      </c>
      <c r="X6" s="38">
        <v>1798</v>
      </c>
      <c r="Y6" s="38">
        <v>1240</v>
      </c>
      <c r="Z6" s="38"/>
      <c r="AA6" s="38">
        <v>5580</v>
      </c>
      <c r="AB6" s="38">
        <v>12183</v>
      </c>
      <c r="AC6" s="38">
        <f>12*31</f>
        <v>372</v>
      </c>
      <c r="AD6" s="38">
        <v>7688</v>
      </c>
      <c r="AE6" s="38">
        <v>1859</v>
      </c>
      <c r="AF6" s="38">
        <v>1581</v>
      </c>
      <c r="AG6" s="38">
        <v>5487</v>
      </c>
      <c r="AH6" s="38">
        <v>1054</v>
      </c>
      <c r="AI6" s="5">
        <f>SUM(B6:AH6)</f>
        <v>92906</v>
      </c>
      <c r="AJ6">
        <f>+AA6+R6+W6+AB6+AD6+T6</f>
        <v>54591</v>
      </c>
      <c r="AK6" s="20">
        <f>+C6+H6+N6+Q6+S6+Y6+D6+AG6+X6+AE6</f>
        <v>23280</v>
      </c>
      <c r="AL6">
        <f>+B6+E6+P6+AC6+AH6+AF6+K6+L6+V6+U6+Z6+M6+J6+G6+F6</f>
        <v>15035</v>
      </c>
      <c r="AM6">
        <f>+Q6+V6+Y6+AH6+N6+H6+E6</f>
        <v>14260</v>
      </c>
      <c r="AN6" s="20">
        <f>+B6+C6+J6+K6+L6+P6+R6+S6+W6+AA6+AB6+AC6+AD6+AF6+T6+D6+AG6+X6+M6+F6+AE6</f>
        <v>76786</v>
      </c>
      <c r="AO6">
        <f>+Z6+U6+G6</f>
        <v>1860</v>
      </c>
      <c r="AP6">
        <f>+AJ6+AK6+AL6</f>
        <v>92906</v>
      </c>
      <c r="AQ6">
        <f>+AJ6+AK6+AL6</f>
        <v>92906</v>
      </c>
      <c r="AR6">
        <f>+AO6+AN6+AM6</f>
        <v>92906</v>
      </c>
    </row>
    <row r="7" spans="1:44" x14ac:dyDescent="0.2">
      <c r="A7" t="s">
        <v>2</v>
      </c>
      <c r="B7" s="38">
        <v>269</v>
      </c>
      <c r="C7" s="38">
        <v>707</v>
      </c>
      <c r="D7" s="38"/>
      <c r="E7" s="38">
        <f>+E6*0.65</f>
        <v>2196.35</v>
      </c>
      <c r="F7" s="38">
        <v>421</v>
      </c>
      <c r="G7" s="38">
        <v>204</v>
      </c>
      <c r="H7" s="38">
        <f>+H6*0.599</f>
        <v>1522.6579999999999</v>
      </c>
      <c r="I7" s="38"/>
      <c r="J7" s="38">
        <f>+J6*0.94</f>
        <v>1660.98</v>
      </c>
      <c r="K7" s="38">
        <v>969</v>
      </c>
      <c r="L7" s="38">
        <v>621</v>
      </c>
      <c r="M7" s="38">
        <v>195</v>
      </c>
      <c r="N7" s="38">
        <v>1177</v>
      </c>
      <c r="O7" s="38"/>
      <c r="P7" s="38">
        <v>258</v>
      </c>
      <c r="Q7" s="38">
        <v>2924</v>
      </c>
      <c r="R7" s="38">
        <v>241</v>
      </c>
      <c r="S7" s="38">
        <f>+S6*0.607</f>
        <v>2088.6869999999999</v>
      </c>
      <c r="T7" s="38">
        <f>+T6*0.594</f>
        <v>3866.9399999999996</v>
      </c>
      <c r="U7" s="38">
        <f>+U6*0.299</f>
        <v>426.37399999999997</v>
      </c>
      <c r="V7" s="38">
        <f>+V6*0.68</f>
        <v>527</v>
      </c>
      <c r="W7" s="38">
        <v>8877</v>
      </c>
      <c r="X7" s="38">
        <f>+X6*0.56</f>
        <v>1006.8800000000001</v>
      </c>
      <c r="Y7" s="38">
        <v>982</v>
      </c>
      <c r="Z7" s="38"/>
      <c r="AA7" s="38">
        <v>4737</v>
      </c>
      <c r="AB7" s="38">
        <f>+AB6*0.902</f>
        <v>10989.066000000001</v>
      </c>
      <c r="AC7" s="38">
        <v>246</v>
      </c>
      <c r="AD7" s="38">
        <v>6178</v>
      </c>
      <c r="AE7" s="38">
        <v>1162</v>
      </c>
      <c r="AF7" s="38">
        <v>653</v>
      </c>
      <c r="AG7" s="38">
        <v>4271</v>
      </c>
      <c r="AH7" s="38">
        <f>+AH6*0.6486</f>
        <v>683.62439999999992</v>
      </c>
      <c r="AI7" s="5">
        <f>SUM(B7:AH7)</f>
        <v>60060.559399999998</v>
      </c>
      <c r="AJ7">
        <f>+AA7+R7+W7+AB7+AD7+T7</f>
        <v>34889.006000000001</v>
      </c>
      <c r="AK7" s="20">
        <f>+C7+H7+N7+Q7+S7+Y7+D7+AG7+X7+AE7</f>
        <v>15841.224999999999</v>
      </c>
      <c r="AL7">
        <f>+B7+E7+P7+AC7+AH7+AF7+K7+L7+V7+U7+Z7+M7+J7+G7+F7</f>
        <v>9330.3284000000003</v>
      </c>
      <c r="AM7">
        <f>+Q7+V7+Y7+AH7+N7+H7+E7</f>
        <v>10012.6324</v>
      </c>
      <c r="AN7" s="20">
        <f>+B7+C7+J7+K7+L7+P7+R7+S7+W7+AA7+AB7+AC7+AD7+AF7+T7+D7+AG7+X7+M7+F7+AE7</f>
        <v>49417.553</v>
      </c>
      <c r="AO7">
        <f>+Z7+U7+G7</f>
        <v>630.37400000000002</v>
      </c>
      <c r="AP7">
        <f>+AJ7+AK7+AL7</f>
        <v>60060.559399999998</v>
      </c>
      <c r="AQ7">
        <f>+AJ7+AK7+AL7</f>
        <v>60060.559399999998</v>
      </c>
      <c r="AR7">
        <f>+AO7+AN7+AM7</f>
        <v>60060.559400000006</v>
      </c>
    </row>
    <row r="8" spans="1:44" x14ac:dyDescent="0.2">
      <c r="A8" t="s">
        <v>4</v>
      </c>
      <c r="B8" s="3">
        <f>+B7/B6</f>
        <v>0.48207885304659498</v>
      </c>
      <c r="C8" s="3">
        <f>+C7/C6</f>
        <v>0.4303104077906269</v>
      </c>
      <c r="D8" s="3"/>
      <c r="E8" s="3">
        <f>+E7/E6</f>
        <v>0.65</v>
      </c>
      <c r="F8" s="3">
        <f>+F7/F6</f>
        <v>0.7988614800759013</v>
      </c>
      <c r="G8" s="3">
        <f t="shared" ref="G8:Y8" si="0">+G7/G6</f>
        <v>0.47004608294930877</v>
      </c>
      <c r="H8" s="3">
        <f t="shared" si="0"/>
        <v>0.59899999999999998</v>
      </c>
      <c r="I8" s="3"/>
      <c r="J8" s="3">
        <f t="shared" si="0"/>
        <v>0.94000000000000006</v>
      </c>
      <c r="K8" s="3">
        <f t="shared" si="0"/>
        <v>0.82258064516129037</v>
      </c>
      <c r="L8" s="3">
        <f t="shared" si="0"/>
        <v>0.80129032258064514</v>
      </c>
      <c r="M8" s="3">
        <f t="shared" si="0"/>
        <v>0.44930875576036866</v>
      </c>
      <c r="N8" s="3">
        <f t="shared" si="0"/>
        <v>0.5273297491039427</v>
      </c>
      <c r="O8" s="3"/>
      <c r="P8" s="3">
        <f>+P7/P6</f>
        <v>0.3329032258064516</v>
      </c>
      <c r="Q8" s="3">
        <f t="shared" si="0"/>
        <v>0.9624753127057275</v>
      </c>
      <c r="R8" s="3">
        <f>+R7/R6</f>
        <v>2.9226291535289838E-2</v>
      </c>
      <c r="S8" s="3">
        <f t="shared" si="0"/>
        <v>0.60699999999999998</v>
      </c>
      <c r="T8" s="3">
        <f t="shared" si="0"/>
        <v>0.59399999999999997</v>
      </c>
      <c r="U8" s="3">
        <f t="shared" si="0"/>
        <v>0.29899999999999999</v>
      </c>
      <c r="V8" s="3">
        <f t="shared" si="0"/>
        <v>0.68</v>
      </c>
      <c r="W8" s="3">
        <f t="shared" si="0"/>
        <v>0.61714404894327035</v>
      </c>
      <c r="X8" s="3">
        <f t="shared" si="0"/>
        <v>0.56000000000000005</v>
      </c>
      <c r="Y8" s="3">
        <f t="shared" si="0"/>
        <v>0.79193548387096779</v>
      </c>
      <c r="Z8" s="3"/>
      <c r="AA8" s="3">
        <f t="shared" ref="AA8:AO8" si="1">+AA7/AA6</f>
        <v>0.84892473118279566</v>
      </c>
      <c r="AB8" s="3">
        <f t="shared" si="1"/>
        <v>0.90200000000000002</v>
      </c>
      <c r="AC8" s="3">
        <f t="shared" si="1"/>
        <v>0.66129032258064513</v>
      </c>
      <c r="AD8" s="3">
        <f t="shared" si="1"/>
        <v>0.80359001040582723</v>
      </c>
      <c r="AE8" s="3">
        <f t="shared" si="1"/>
        <v>0.6250672404518558</v>
      </c>
      <c r="AF8" s="3">
        <f t="shared" si="1"/>
        <v>0.41302972802024035</v>
      </c>
      <c r="AG8" s="3">
        <f t="shared" si="1"/>
        <v>0.77838527428467286</v>
      </c>
      <c r="AH8" s="3">
        <f t="shared" si="1"/>
        <v>0.64859999999999995</v>
      </c>
      <c r="AI8" s="6">
        <f t="shared" si="1"/>
        <v>0.64646588379652548</v>
      </c>
      <c r="AJ8" s="3">
        <f t="shared" si="1"/>
        <v>0.63909812972834357</v>
      </c>
      <c r="AK8" s="3">
        <f t="shared" si="1"/>
        <v>0.68046499140893468</v>
      </c>
      <c r="AL8" s="3">
        <f t="shared" si="1"/>
        <v>0.62057388759561027</v>
      </c>
      <c r="AM8" s="3">
        <f t="shared" si="1"/>
        <v>0.70214813464235626</v>
      </c>
      <c r="AN8" s="3">
        <f t="shared" si="1"/>
        <v>0.64357503972078245</v>
      </c>
      <c r="AO8" s="3">
        <f t="shared" si="1"/>
        <v>0.33891075268817206</v>
      </c>
    </row>
    <row r="9" spans="1:44" x14ac:dyDescent="0.2">
      <c r="A9" s="20"/>
      <c r="B9" s="20">
        <v>1</v>
      </c>
      <c r="C9" s="20">
        <v>1</v>
      </c>
      <c r="D9" s="20"/>
      <c r="E9" s="20">
        <v>1</v>
      </c>
      <c r="F9" s="20">
        <v>1</v>
      </c>
      <c r="G9" s="20">
        <v>1</v>
      </c>
      <c r="H9" s="20">
        <v>1</v>
      </c>
      <c r="I9" s="20"/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/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19">
        <f>SUM(B9:AH9)</f>
        <v>29</v>
      </c>
      <c r="AJ9" s="20">
        <f>+AA9+R9+W9+AB9+AD9+T9+AG9</f>
        <v>7</v>
      </c>
      <c r="AK9" s="20">
        <f>+C9+H9+N9+Q9+S9+Y9+D9+X9+AE9+E9</f>
        <v>9</v>
      </c>
      <c r="AL9" s="20">
        <f>+B9+P9+AC9+AH9+AF9+K9+L9+V9+U9+Z9+M9+J9+G9+F9</f>
        <v>13</v>
      </c>
      <c r="AM9" s="20">
        <f>+Q9+V9+Y9+AH9+N9+H9+E9</f>
        <v>7</v>
      </c>
      <c r="AN9" s="20">
        <f>+B9+C9+J9+K9+L9+P9+R9+S9+W9+AA9+AB9+AC9+AD9+AF9+T9+D9+AG9+X9+M9+F9+AE9</f>
        <v>20</v>
      </c>
      <c r="AO9" s="20">
        <f>+Z9+U9+G9</f>
        <v>2</v>
      </c>
    </row>
    <row r="10" spans="1:44" x14ac:dyDescent="0.2">
      <c r="Z10" t="s">
        <v>15</v>
      </c>
    </row>
    <row r="11" spans="1:44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1"/>
      <c r="AC11" s="1"/>
      <c r="AD11" s="1"/>
      <c r="AE11" s="1"/>
      <c r="AI11" s="5"/>
    </row>
    <row r="12" spans="1:44" x14ac:dyDescent="0.2">
      <c r="A12" t="s">
        <v>1</v>
      </c>
      <c r="B12" s="38">
        <f>18*29</f>
        <v>522</v>
      </c>
      <c r="C12" s="38">
        <f>53*29</f>
        <v>1537</v>
      </c>
      <c r="D12" s="38"/>
      <c r="E12" s="38">
        <f>3379/31*29</f>
        <v>3161</v>
      </c>
      <c r="F12" s="38">
        <f>17*29</f>
        <v>493</v>
      </c>
      <c r="G12" s="38">
        <f>14*29</f>
        <v>406</v>
      </c>
      <c r="H12" s="38">
        <f>82*29</f>
        <v>2378</v>
      </c>
      <c r="I12" s="38"/>
      <c r="J12" s="38">
        <f>1767/31*29</f>
        <v>1653</v>
      </c>
      <c r="K12" s="38">
        <f>1178/31*29</f>
        <v>1102</v>
      </c>
      <c r="L12" s="38">
        <f>775/31*29</f>
        <v>725</v>
      </c>
      <c r="M12" s="38">
        <v>406</v>
      </c>
      <c r="N12" s="38">
        <v>2088</v>
      </c>
      <c r="O12" s="38"/>
      <c r="P12" s="38">
        <v>725</v>
      </c>
      <c r="Q12" s="38">
        <v>2842</v>
      </c>
      <c r="R12" s="38">
        <f>8246/31*29</f>
        <v>7714</v>
      </c>
      <c r="S12" s="38">
        <f>3441/31*29</f>
        <v>3219</v>
      </c>
      <c r="T12" s="38">
        <f>6510/31*29</f>
        <v>6090</v>
      </c>
      <c r="U12" s="38">
        <f>1426/31*29</f>
        <v>1334</v>
      </c>
      <c r="V12" s="38">
        <v>725</v>
      </c>
      <c r="W12" s="38">
        <f>14384/31*29</f>
        <v>13456</v>
      </c>
      <c r="X12" s="38">
        <f>58*29</f>
        <v>1682</v>
      </c>
      <c r="Y12" s="38">
        <f>+Y13/0.823</f>
        <v>1188.3353584447145</v>
      </c>
      <c r="Z12" s="38"/>
      <c r="AA12" s="38">
        <f>5580/31*29</f>
        <v>5220</v>
      </c>
      <c r="AB12" s="38">
        <f>12183/31*29</f>
        <v>11397</v>
      </c>
      <c r="AC12" s="38">
        <f>12*29</f>
        <v>348</v>
      </c>
      <c r="AD12" s="38">
        <v>7192</v>
      </c>
      <c r="AE12" s="38">
        <v>1740</v>
      </c>
      <c r="AF12" s="38">
        <v>1479</v>
      </c>
      <c r="AG12" s="38">
        <v>5133</v>
      </c>
      <c r="AH12" s="38">
        <f>1054/31*29</f>
        <v>986</v>
      </c>
      <c r="AI12" s="5">
        <f>SUM(B12:AH12)</f>
        <v>86941.335358444718</v>
      </c>
      <c r="AJ12">
        <f>+AA12+R12+W12+AB12+AD12+T12</f>
        <v>51069</v>
      </c>
      <c r="AK12" s="20">
        <f>+C12+H12+N12+Q12+S12+Y12+D12+AG12+X12+AE12</f>
        <v>21807.335358444714</v>
      </c>
      <c r="AL12">
        <f>+B12+E12+P12+AC12+AH12+AF12+K12+L12+V12+U12+Z12+M12+J12+G12+F12</f>
        <v>14065</v>
      </c>
      <c r="AM12">
        <f>+Q12+V12+Y12+AH12+N12+H12+E12</f>
        <v>13368.335358444714</v>
      </c>
      <c r="AN12" s="20">
        <f>+B12+C12+J12+K12+L12+P12+R12+S12+W12+AA12+AB12+AC12+AD12+AF12+T12+D12+AG12+X12+M12+F12+AE12</f>
        <v>71833</v>
      </c>
      <c r="AO12">
        <f>+Z12+U12+G12</f>
        <v>1740</v>
      </c>
      <c r="AP12">
        <f>+AJ12+AK12+AL12</f>
        <v>86941.335358444718</v>
      </c>
      <c r="AQ12">
        <f>+AJ12+AK12+AL12</f>
        <v>86941.335358444718</v>
      </c>
      <c r="AR12">
        <f>+AO12+AN12+AM12</f>
        <v>86941.335358444718</v>
      </c>
    </row>
    <row r="13" spans="1:44" x14ac:dyDescent="0.2">
      <c r="A13" t="s">
        <v>2</v>
      </c>
      <c r="B13" s="38">
        <v>332</v>
      </c>
      <c r="C13" s="38">
        <v>646</v>
      </c>
      <c r="D13" s="38"/>
      <c r="E13" s="38">
        <f>+E12*0.85</f>
        <v>2686.85</v>
      </c>
      <c r="F13" s="38">
        <v>366</v>
      </c>
      <c r="G13" s="38">
        <v>228</v>
      </c>
      <c r="H13" s="38">
        <f>+H12*0.66</f>
        <v>1569.48</v>
      </c>
      <c r="I13" s="38"/>
      <c r="J13" s="38">
        <f>+J12*0.96</f>
        <v>1586.8799999999999</v>
      </c>
      <c r="K13" s="38">
        <v>969</v>
      </c>
      <c r="L13" s="38">
        <v>582</v>
      </c>
      <c r="M13" s="38">
        <v>146</v>
      </c>
      <c r="N13" s="38">
        <v>1629</v>
      </c>
      <c r="O13" s="38"/>
      <c r="P13" s="38">
        <v>433</v>
      </c>
      <c r="Q13" s="38">
        <v>2698</v>
      </c>
      <c r="R13" s="38">
        <v>447</v>
      </c>
      <c r="S13" s="38">
        <f>+S12*0.694</f>
        <v>2233.9859999999999</v>
      </c>
      <c r="T13" s="38">
        <f>+T12*0.62</f>
        <v>3775.8</v>
      </c>
      <c r="U13" s="38">
        <f>+U12*0.384</f>
        <v>512.25599999999997</v>
      </c>
      <c r="V13" s="38">
        <f>+V12*0.7</f>
        <v>507.49999999999994</v>
      </c>
      <c r="W13" s="38">
        <f>+W12*0.61</f>
        <v>8208.16</v>
      </c>
      <c r="X13" s="38">
        <f>+X12*0.71</f>
        <v>1194.22</v>
      </c>
      <c r="Y13" s="38">
        <v>978</v>
      </c>
      <c r="Z13" s="38"/>
      <c r="AA13" s="38">
        <v>4909</v>
      </c>
      <c r="AB13" s="38">
        <f>+AB12*0.952</f>
        <v>10849.944</v>
      </c>
      <c r="AC13" s="38">
        <v>292</v>
      </c>
      <c r="AD13" s="38">
        <v>6479</v>
      </c>
      <c r="AE13" s="38">
        <v>1274</v>
      </c>
      <c r="AF13" s="38">
        <v>665</v>
      </c>
      <c r="AG13" s="38">
        <v>4521</v>
      </c>
      <c r="AH13" s="38">
        <f>+AH12*0.8608</f>
        <v>848.74879999999996</v>
      </c>
      <c r="AI13" s="5">
        <f>SUM(B13:AH13)</f>
        <v>61567.824800000002</v>
      </c>
      <c r="AJ13">
        <f>+AA13+R13+W13+AB13+AD13+T13</f>
        <v>34668.904000000002</v>
      </c>
      <c r="AK13" s="20">
        <f>+C13+H13+N13+Q13+S13+Y13+D13+AG13+X13+AE13</f>
        <v>16743.686000000002</v>
      </c>
      <c r="AL13">
        <f>+B13+E13+P13+AC13+AH13+AF13+K13+L13+V13+U13+Z13+M13+J13+G13+F13</f>
        <v>10155.2348</v>
      </c>
      <c r="AM13">
        <f>+Q13+V13+Y13+AH13+N13+H13+E13</f>
        <v>10917.578800000001</v>
      </c>
      <c r="AN13" s="20">
        <f>+B13+C13+J13+K13+L13+P13+R13+S13+W13+AA13+AB13+AC13+AD13+AF13+T13+D13+AG13+X13+M13+F13+AE13</f>
        <v>49909.990000000005</v>
      </c>
      <c r="AO13">
        <f>+Z13+U13+G13</f>
        <v>740.25599999999997</v>
      </c>
      <c r="AP13">
        <f>+AJ13+AK13+AL13</f>
        <v>61567.824800000002</v>
      </c>
    </row>
    <row r="14" spans="1:44" x14ac:dyDescent="0.2">
      <c r="A14" t="s">
        <v>4</v>
      </c>
      <c r="B14" s="3">
        <f>+B13/B12</f>
        <v>0.63601532567049812</v>
      </c>
      <c r="C14" s="3">
        <f>+C13/C12</f>
        <v>0.42029928432010411</v>
      </c>
      <c r="D14" s="3"/>
      <c r="E14" s="3">
        <f t="shared" ref="E14:Y14" si="2">+E13/E12</f>
        <v>0.85</v>
      </c>
      <c r="F14" s="3">
        <f t="shared" si="2"/>
        <v>0.74239350912778901</v>
      </c>
      <c r="G14" s="3">
        <f t="shared" si="2"/>
        <v>0.56157635467980294</v>
      </c>
      <c r="H14" s="3">
        <f t="shared" si="2"/>
        <v>0.66</v>
      </c>
      <c r="I14" s="3"/>
      <c r="J14" s="3">
        <f t="shared" si="2"/>
        <v>0.96</v>
      </c>
      <c r="K14" s="3">
        <f t="shared" si="2"/>
        <v>0.87931034482758619</v>
      </c>
      <c r="L14" s="3">
        <f t="shared" si="2"/>
        <v>0.8027586206896552</v>
      </c>
      <c r="M14" s="3">
        <f t="shared" si="2"/>
        <v>0.35960591133004927</v>
      </c>
      <c r="N14" s="3">
        <f t="shared" si="2"/>
        <v>0.78017241379310343</v>
      </c>
      <c r="O14" s="3"/>
      <c r="P14" s="3">
        <f t="shared" si="2"/>
        <v>0.59724137931034482</v>
      </c>
      <c r="Q14" s="3">
        <f t="shared" si="2"/>
        <v>0.94933145672061925</v>
      </c>
      <c r="R14" s="3">
        <f t="shared" si="2"/>
        <v>5.7946590614467205E-2</v>
      </c>
      <c r="S14" s="3">
        <f t="shared" si="2"/>
        <v>0.69399999999999995</v>
      </c>
      <c r="T14" s="3">
        <f t="shared" si="2"/>
        <v>0.62</v>
      </c>
      <c r="U14" s="3">
        <f t="shared" si="2"/>
        <v>0.38399999999999995</v>
      </c>
      <c r="V14" s="3">
        <f t="shared" si="2"/>
        <v>0.7</v>
      </c>
      <c r="W14" s="3">
        <f t="shared" si="2"/>
        <v>0.61</v>
      </c>
      <c r="X14" s="3">
        <f t="shared" si="2"/>
        <v>0.71</v>
      </c>
      <c r="Y14" s="3">
        <f t="shared" si="2"/>
        <v>0.82299999999999995</v>
      </c>
      <c r="Z14" s="3"/>
      <c r="AA14" s="3">
        <f t="shared" ref="AA14:AO14" si="3">+AA13/AA12</f>
        <v>0.9404214559386973</v>
      </c>
      <c r="AB14" s="3">
        <f t="shared" si="3"/>
        <v>0.95199999999999996</v>
      </c>
      <c r="AC14" s="3">
        <f t="shared" si="3"/>
        <v>0.83908045977011492</v>
      </c>
      <c r="AD14" s="3">
        <f t="shared" si="3"/>
        <v>0.90086206896551724</v>
      </c>
      <c r="AE14" s="3">
        <f t="shared" si="3"/>
        <v>0.73218390804597699</v>
      </c>
      <c r="AF14" s="3">
        <f t="shared" si="3"/>
        <v>0.44962812711291411</v>
      </c>
      <c r="AG14" s="3">
        <f t="shared" si="3"/>
        <v>0.88077147866744598</v>
      </c>
      <c r="AH14" s="3">
        <f t="shared" si="3"/>
        <v>0.86080000000000001</v>
      </c>
      <c r="AI14" s="6">
        <f t="shared" si="3"/>
        <v>0.70815365954716547</v>
      </c>
      <c r="AJ14" s="3">
        <f t="shared" si="3"/>
        <v>0.67886396835653728</v>
      </c>
      <c r="AK14" s="3">
        <f t="shared" si="3"/>
        <v>0.76780063794067099</v>
      </c>
      <c r="AL14" s="3">
        <f t="shared" si="3"/>
        <v>0.72202167081407753</v>
      </c>
      <c r="AM14" s="3">
        <f t="shared" si="3"/>
        <v>0.81667451535792135</v>
      </c>
      <c r="AN14" s="3">
        <f t="shared" si="3"/>
        <v>0.69480586916876652</v>
      </c>
      <c r="AO14" s="3">
        <f t="shared" si="3"/>
        <v>0.42543448275862067</v>
      </c>
    </row>
    <row r="15" spans="1:44" x14ac:dyDescent="0.2">
      <c r="A15" s="20"/>
      <c r="B15" s="20">
        <v>1</v>
      </c>
      <c r="C15" s="20">
        <v>1</v>
      </c>
      <c r="D15" s="20"/>
      <c r="E15" s="20">
        <v>1</v>
      </c>
      <c r="F15" s="20">
        <v>1</v>
      </c>
      <c r="G15" s="20">
        <v>1</v>
      </c>
      <c r="H15" s="20">
        <v>1</v>
      </c>
      <c r="I15" s="20"/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/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/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19">
        <f>SUM(B15:AH15)</f>
        <v>29</v>
      </c>
      <c r="AJ15" s="20">
        <f>+AA15+R15+W15+AB15+AD15+T15+AG15</f>
        <v>7</v>
      </c>
      <c r="AK15" s="20">
        <f>+C15+H15+N15+Q15+S15+Y15+D15+X15+AE15+E15</f>
        <v>9</v>
      </c>
      <c r="AL15" s="20">
        <f>+B15+P15+AC15+AH15+AF15+K15+L15+V15+U15+Z15+M15+J15+G15+F15</f>
        <v>13</v>
      </c>
      <c r="AM15" s="20">
        <f>+Q15+V15+Y15+AH15+N15+H15+E15</f>
        <v>7</v>
      </c>
      <c r="AN15" s="20">
        <f>+B15+C15+J15+K15+L15+P15+R15+S15+W15+AA15+AB15+AC15+AD15+AF15+T15+D15+AG15+X15+M15+F15+AE15</f>
        <v>20</v>
      </c>
      <c r="AO15" s="20">
        <f>+Z15+U15+G15</f>
        <v>2</v>
      </c>
    </row>
    <row r="16" spans="1:44" x14ac:dyDescent="0.2">
      <c r="H16" t="s">
        <v>15</v>
      </c>
      <c r="AH16" t="s">
        <v>15</v>
      </c>
    </row>
    <row r="17" spans="1:43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"/>
      <c r="AA17" s="1"/>
      <c r="AB17" s="1"/>
      <c r="AC17" s="1"/>
      <c r="AD17" s="1"/>
      <c r="AE17" s="1"/>
      <c r="AI17" s="5"/>
    </row>
    <row r="18" spans="1:43" x14ac:dyDescent="0.2">
      <c r="A18" t="s">
        <v>1</v>
      </c>
      <c r="B18" s="38">
        <v>558</v>
      </c>
      <c r="C18" s="38">
        <v>1643</v>
      </c>
      <c r="D18" s="38"/>
      <c r="E18" s="38">
        <v>3379</v>
      </c>
      <c r="F18" s="38">
        <v>527</v>
      </c>
      <c r="G18" s="38">
        <v>434</v>
      </c>
      <c r="H18" s="38">
        <v>2542</v>
      </c>
      <c r="I18" s="38"/>
      <c r="J18" s="38">
        <v>1767</v>
      </c>
      <c r="K18" s="38">
        <v>1178</v>
      </c>
      <c r="L18" s="38">
        <v>775</v>
      </c>
      <c r="M18" s="38"/>
      <c r="N18" s="38">
        <v>2232</v>
      </c>
      <c r="O18" s="38"/>
      <c r="P18" s="38">
        <v>806</v>
      </c>
      <c r="Q18" s="38">
        <v>3035</v>
      </c>
      <c r="R18" s="38">
        <v>8246</v>
      </c>
      <c r="S18" s="38">
        <v>3441</v>
      </c>
      <c r="T18" s="38">
        <v>6510</v>
      </c>
      <c r="U18" s="38">
        <v>1426</v>
      </c>
      <c r="V18" s="38">
        <v>775</v>
      </c>
      <c r="W18" s="38">
        <v>14384</v>
      </c>
      <c r="X18" s="38">
        <v>1798</v>
      </c>
      <c r="Y18" s="38">
        <v>1240</v>
      </c>
      <c r="Z18" s="38"/>
      <c r="AA18" s="38">
        <v>5580</v>
      </c>
      <c r="AB18" s="38">
        <v>12183</v>
      </c>
      <c r="AC18" s="38">
        <f>12*31</f>
        <v>372</v>
      </c>
      <c r="AD18" s="38">
        <v>7564</v>
      </c>
      <c r="AE18" s="38">
        <v>1859</v>
      </c>
      <c r="AF18" s="38">
        <v>1581</v>
      </c>
      <c r="AG18" s="38">
        <v>5518</v>
      </c>
      <c r="AH18" s="38">
        <v>1054</v>
      </c>
      <c r="AI18" s="5">
        <f>SUM(B18:AH18)</f>
        <v>92407</v>
      </c>
      <c r="AJ18">
        <f>+AA18+R18+W18+AB18+AD18+T18</f>
        <v>54467</v>
      </c>
      <c r="AK18" s="20">
        <f>+C18+H18+N18+Q18+S18+Y18+D18+AG18+X18+AE18</f>
        <v>23308</v>
      </c>
      <c r="AL18">
        <f>+B18+E18+P18+AC18+AH18+AF18+K18+L18+V18+U18+Z18+M18+J18+G18+F18</f>
        <v>14632</v>
      </c>
      <c r="AM18">
        <f>+Q18+V18+Y18+AH18+N18+H18+E18</f>
        <v>14257</v>
      </c>
      <c r="AN18" s="20">
        <f>+B18+C18+J18+K18+L18+P18+R18+S18+W18+AA18+AB18+AC18+AD18+AF18+T18+D18+AG18+X18+M18+F18+AE18</f>
        <v>76290</v>
      </c>
      <c r="AO18">
        <f>+Z18+U18+G18</f>
        <v>1860</v>
      </c>
      <c r="AP18">
        <f>+AJ18+AK18+AL18</f>
        <v>92407</v>
      </c>
      <c r="AQ18">
        <f>+AJ18+AK18+AL18</f>
        <v>92407</v>
      </c>
    </row>
    <row r="19" spans="1:43" x14ac:dyDescent="0.2">
      <c r="A19" t="s">
        <v>2</v>
      </c>
      <c r="B19" s="38">
        <v>272</v>
      </c>
      <c r="C19" s="38">
        <f>+C18*0.47</f>
        <v>772.20999999999992</v>
      </c>
      <c r="D19" s="38"/>
      <c r="E19" s="38">
        <f>+E18*0.79</f>
        <v>2669.4100000000003</v>
      </c>
      <c r="F19" s="38">
        <v>317</v>
      </c>
      <c r="G19" s="38">
        <v>157</v>
      </c>
      <c r="H19" s="38">
        <f>+H18*0.665</f>
        <v>1690.43</v>
      </c>
      <c r="I19" s="38"/>
      <c r="J19" s="38">
        <f>+J18*0.95</f>
        <v>1678.6499999999999</v>
      </c>
      <c r="K19" s="38">
        <v>1004</v>
      </c>
      <c r="L19" s="38">
        <f>+L18*0.8</f>
        <v>620</v>
      </c>
      <c r="M19" s="38"/>
      <c r="N19" s="38">
        <v>1587</v>
      </c>
      <c r="O19" s="38"/>
      <c r="P19" s="38">
        <v>171</v>
      </c>
      <c r="Q19" s="38">
        <v>2873</v>
      </c>
      <c r="R19" s="38">
        <f>+R18*0.046</f>
        <v>379.31599999999997</v>
      </c>
      <c r="S19" s="38">
        <f>+S18*0.53</f>
        <v>1823.73</v>
      </c>
      <c r="T19" s="38">
        <f>+T18*0.56</f>
        <v>3645.6000000000004</v>
      </c>
      <c r="U19" s="38">
        <f>+U18*0.389</f>
        <v>554.71400000000006</v>
      </c>
      <c r="V19" s="38">
        <f>+V18*0.66</f>
        <v>511.5</v>
      </c>
      <c r="W19" s="38">
        <v>10137</v>
      </c>
      <c r="X19" s="38">
        <f>+X18*0.58</f>
        <v>1042.8399999999999</v>
      </c>
      <c r="Y19" s="38">
        <v>955</v>
      </c>
      <c r="Z19" s="38"/>
      <c r="AA19" s="38">
        <f>+AA18*0.843</f>
        <v>4703.9399999999996</v>
      </c>
      <c r="AB19" s="38">
        <v>11581</v>
      </c>
      <c r="AC19" s="38">
        <v>268</v>
      </c>
      <c r="AD19" s="38">
        <v>6667</v>
      </c>
      <c r="AE19" s="38">
        <f>+AE18*0.607</f>
        <v>1128.413</v>
      </c>
      <c r="AF19" s="38">
        <v>726</v>
      </c>
      <c r="AG19" s="38">
        <v>4938</v>
      </c>
      <c r="AH19" s="38">
        <v>528</v>
      </c>
      <c r="AI19" s="5">
        <f>SUM(B19:AH19)</f>
        <v>63401.753000000004</v>
      </c>
      <c r="AJ19">
        <f>+AA19+R19+W19+AB19+AD19+T19</f>
        <v>37113.856</v>
      </c>
      <c r="AK19" s="20">
        <f>+C19+H19+N19+Q19+S19+Y19+D19+AG19+X19+AE19</f>
        <v>16810.623</v>
      </c>
      <c r="AL19">
        <f>+B19+E19+P19+AC19+AH19+AF19+K19+L19+V19+U19+Z19+M19+J19+G19+F19</f>
        <v>9477.2739999999994</v>
      </c>
      <c r="AM19">
        <f>+Q19+V19+Y19+AH19+N19+H19+E19</f>
        <v>10814.34</v>
      </c>
      <c r="AN19" s="20">
        <f>+B19+C19+J19+K19+L19+P19+R19+S19+W19+AA19+AB19+AC19+AD19+AF19+T19+D19+AG19+X19+M19+F19+AE19</f>
        <v>51875.698999999993</v>
      </c>
      <c r="AO19">
        <f>+Z19+U19+G19</f>
        <v>711.71400000000006</v>
      </c>
      <c r="AP19">
        <f>+AJ19+AK19+AL19</f>
        <v>63401.752999999997</v>
      </c>
      <c r="AQ19">
        <f>+AJ19+AK19+AL19</f>
        <v>63401.752999999997</v>
      </c>
    </row>
    <row r="20" spans="1:43" x14ac:dyDescent="0.2">
      <c r="A20" t="s">
        <v>4</v>
      </c>
      <c r="B20" s="3">
        <f>+B19/B18</f>
        <v>0.48745519713261648</v>
      </c>
      <c r="C20" s="3">
        <f>+C19/C18</f>
        <v>0.47</v>
      </c>
      <c r="D20" s="3"/>
      <c r="E20" s="3">
        <f>+E19/E18</f>
        <v>0.79000000000000015</v>
      </c>
      <c r="F20" s="3">
        <f>+F19/F18</f>
        <v>0.60151802656546494</v>
      </c>
      <c r="G20" s="3">
        <f t="shared" ref="G20:Y20" si="4">+G19/G18</f>
        <v>0.36175115207373271</v>
      </c>
      <c r="H20" s="3">
        <f t="shared" si="4"/>
        <v>0.66500000000000004</v>
      </c>
      <c r="I20" s="3"/>
      <c r="J20" s="3">
        <f t="shared" si="4"/>
        <v>0.95</v>
      </c>
      <c r="K20" s="3">
        <f t="shared" si="4"/>
        <v>0.85229202037351448</v>
      </c>
      <c r="L20" s="3">
        <f t="shared" si="4"/>
        <v>0.8</v>
      </c>
      <c r="M20" s="3" t="e">
        <f t="shared" si="4"/>
        <v>#DIV/0!</v>
      </c>
      <c r="N20" s="3">
        <f t="shared" si="4"/>
        <v>0.71102150537634412</v>
      </c>
      <c r="O20" s="3"/>
      <c r="P20" s="3">
        <f t="shared" si="4"/>
        <v>0.21215880893300249</v>
      </c>
      <c r="Q20" s="3">
        <f t="shared" si="4"/>
        <v>0.94662273476112024</v>
      </c>
      <c r="R20" s="3">
        <f t="shared" si="4"/>
        <v>4.5999999999999999E-2</v>
      </c>
      <c r="S20" s="3">
        <f t="shared" si="4"/>
        <v>0.53</v>
      </c>
      <c r="T20" s="3">
        <f t="shared" si="4"/>
        <v>0.56000000000000005</v>
      </c>
      <c r="U20" s="3">
        <f t="shared" si="4"/>
        <v>0.38900000000000001</v>
      </c>
      <c r="V20" s="3">
        <f t="shared" si="4"/>
        <v>0.66</v>
      </c>
      <c r="W20" s="3">
        <f t="shared" si="4"/>
        <v>0.70474137931034486</v>
      </c>
      <c r="X20" s="3">
        <f t="shared" si="4"/>
        <v>0.57999999999999996</v>
      </c>
      <c r="Y20" s="3">
        <f t="shared" si="4"/>
        <v>0.77016129032258063</v>
      </c>
      <c r="Z20" s="38"/>
      <c r="AA20" s="3">
        <f t="shared" ref="AA20:AO20" si="5">+AA19/AA18</f>
        <v>0.84299999999999997</v>
      </c>
      <c r="AB20" s="3">
        <f t="shared" si="5"/>
        <v>0.95058688336206187</v>
      </c>
      <c r="AC20" s="3">
        <f t="shared" si="5"/>
        <v>0.72043010752688175</v>
      </c>
      <c r="AD20" s="3">
        <f t="shared" si="5"/>
        <v>0.88141195134849282</v>
      </c>
      <c r="AE20" s="3">
        <f t="shared" si="5"/>
        <v>0.60699999999999998</v>
      </c>
      <c r="AF20" s="3">
        <f t="shared" si="5"/>
        <v>0.45920303605313095</v>
      </c>
      <c r="AG20" s="3">
        <f t="shared" si="5"/>
        <v>0.89488945270025366</v>
      </c>
      <c r="AH20" s="3">
        <f t="shared" si="5"/>
        <v>0.50094876660341559</v>
      </c>
      <c r="AI20" s="6">
        <f t="shared" si="5"/>
        <v>0.68611417966171395</v>
      </c>
      <c r="AJ20" s="3">
        <f t="shared" si="5"/>
        <v>0.68140077478106009</v>
      </c>
      <c r="AK20" s="3">
        <f t="shared" si="5"/>
        <v>0.72123833018706018</v>
      </c>
      <c r="AL20" s="3">
        <f t="shared" si="5"/>
        <v>0.6477087206123564</v>
      </c>
      <c r="AM20" s="3">
        <f t="shared" si="5"/>
        <v>0.75852844216875925</v>
      </c>
      <c r="AN20" s="3">
        <f t="shared" si="5"/>
        <v>0.67998032507537021</v>
      </c>
      <c r="AO20" s="3">
        <f t="shared" si="5"/>
        <v>0.38264193548387099</v>
      </c>
    </row>
    <row r="21" spans="1:43" x14ac:dyDescent="0.2">
      <c r="A21" s="20"/>
      <c r="B21" s="20">
        <v>1</v>
      </c>
      <c r="C21" s="20">
        <v>1</v>
      </c>
      <c r="D21" s="20"/>
      <c r="E21" s="20">
        <v>1</v>
      </c>
      <c r="F21" s="20">
        <v>1</v>
      </c>
      <c r="G21" s="20">
        <v>1</v>
      </c>
      <c r="H21" s="20">
        <v>1</v>
      </c>
      <c r="I21" s="20"/>
      <c r="J21" s="20">
        <v>1</v>
      </c>
      <c r="K21" s="20">
        <v>1</v>
      </c>
      <c r="L21" s="20">
        <v>1</v>
      </c>
      <c r="M21" s="20"/>
      <c r="N21" s="20">
        <v>1</v>
      </c>
      <c r="O21" s="20"/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38"/>
      <c r="AA21" s="20">
        <v>1</v>
      </c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19">
        <f>SUM(B21:AH21)</f>
        <v>28</v>
      </c>
      <c r="AJ21" s="20">
        <f>+AA21+R21+W21+AB21+AD21+T21+AG21</f>
        <v>7</v>
      </c>
      <c r="AK21" s="20">
        <f>+C21+H21+N21+Q21+S21+Y21+D21+X21+AE21+E21</f>
        <v>9</v>
      </c>
      <c r="AL21" s="20">
        <f>+B21+P21+AC21+AH21+AF21+K21+L21+V21+U21+Z21+M21+J21+G21+F21</f>
        <v>12</v>
      </c>
      <c r="AM21" s="20">
        <f>+Q21+V21+Y21+AH21+N21+H21+E21</f>
        <v>7</v>
      </c>
      <c r="AN21" s="20">
        <f>+B21+C21+J21+K21+L21+P21+R21+S21+W21+AA21+AB21+AC21+AD21+AF21+T21+D21+AG21+X21+M21+F21+AE21</f>
        <v>19</v>
      </c>
      <c r="AO21" s="20">
        <f>+Z21+U21+G21</f>
        <v>2</v>
      </c>
    </row>
    <row r="22" spans="1:43" x14ac:dyDescent="0.2">
      <c r="B22" s="38"/>
    </row>
    <row r="23" spans="1:43" x14ac:dyDescent="0.2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A23" s="1"/>
      <c r="AB23" s="1"/>
      <c r="AC23" s="1"/>
      <c r="AD23" s="1"/>
      <c r="AE23" s="1"/>
      <c r="AI23" s="5"/>
    </row>
    <row r="24" spans="1:43" x14ac:dyDescent="0.2">
      <c r="A24" t="s">
        <v>1</v>
      </c>
      <c r="B24" s="38">
        <f>558/31*30</f>
        <v>540</v>
      </c>
      <c r="C24" s="38">
        <f>1643/31*30</f>
        <v>1590</v>
      </c>
      <c r="D24" s="38"/>
      <c r="E24" s="38">
        <f>3379/31*30</f>
        <v>3270</v>
      </c>
      <c r="F24" s="38">
        <f>527/31*30</f>
        <v>510</v>
      </c>
      <c r="G24" s="38">
        <f>434/31*30</f>
        <v>420</v>
      </c>
      <c r="H24" s="38">
        <f>2542/31*30</f>
        <v>2460</v>
      </c>
      <c r="I24" s="38"/>
      <c r="J24" s="38">
        <f>1767/31*30</f>
        <v>1710</v>
      </c>
      <c r="K24" s="38">
        <f>1178/31*30</f>
        <v>1140</v>
      </c>
      <c r="L24" s="38">
        <f>775/31*30</f>
        <v>750</v>
      </c>
      <c r="M24" s="38">
        <f>406/29*30</f>
        <v>420</v>
      </c>
      <c r="N24" s="38">
        <v>2160</v>
      </c>
      <c r="O24" s="38"/>
      <c r="P24" s="38">
        <v>750</v>
      </c>
      <c r="Q24" s="38">
        <v>2940</v>
      </c>
      <c r="R24" s="38">
        <f>8246/31*30</f>
        <v>7980</v>
      </c>
      <c r="S24" s="38">
        <f>3441/31*30</f>
        <v>3330</v>
      </c>
      <c r="T24" s="38">
        <f>6510/31*30</f>
        <v>6300</v>
      </c>
      <c r="U24" s="38">
        <f>1426/31*30</f>
        <v>1380</v>
      </c>
      <c r="V24" s="38">
        <v>750</v>
      </c>
      <c r="W24" s="38">
        <v>13920</v>
      </c>
      <c r="X24" s="38">
        <f>1798/31*30</f>
        <v>1740</v>
      </c>
      <c r="Y24" s="38">
        <v>1212</v>
      </c>
      <c r="AA24" s="38">
        <f>5580/31*30</f>
        <v>5400</v>
      </c>
      <c r="AB24" s="38">
        <f>12183/31*30</f>
        <v>11790</v>
      </c>
      <c r="AC24" s="38">
        <f>12*30</f>
        <v>360</v>
      </c>
      <c r="AD24" s="38">
        <v>7320</v>
      </c>
      <c r="AE24" s="38">
        <v>1798</v>
      </c>
      <c r="AF24" s="38">
        <v>1530</v>
      </c>
      <c r="AG24" s="38">
        <v>5340</v>
      </c>
      <c r="AH24" s="38">
        <f>1054/31*30</f>
        <v>1020</v>
      </c>
      <c r="AI24" s="5">
        <f>SUM(B24:AH24)</f>
        <v>89830</v>
      </c>
      <c r="AJ24">
        <f>+AA24+R24+W24+AB24+AD24+T24</f>
        <v>52710</v>
      </c>
      <c r="AK24" s="20">
        <f>+C24+H24+N24+Q24+S24+Y24+D24+AG24+X24+AE24</f>
        <v>22570</v>
      </c>
      <c r="AL24">
        <f>+B24+E24+P24+AC24+AH24+AF24+K24+L24+V24+U24+Z24+M24+J24+G24+F24</f>
        <v>14550</v>
      </c>
      <c r="AM24">
        <f>+Q24+V24+Y24+AH24+N24+H24+E24</f>
        <v>13812</v>
      </c>
      <c r="AN24" s="20">
        <f>+B24+C24+J24+K24+L24+P24+R24+S24+W24+AA24+AB24+AC24+AD24+AF24+T24+D24+AG24+X24+M24+F24+AE24</f>
        <v>74218</v>
      </c>
      <c r="AO24">
        <f>+Z24+U24+G24</f>
        <v>1800</v>
      </c>
      <c r="AP24">
        <f>+AJ24+AK24+AL24</f>
        <v>89830</v>
      </c>
    </row>
    <row r="25" spans="1:43" x14ac:dyDescent="0.2">
      <c r="A25" t="s">
        <v>2</v>
      </c>
      <c r="B25" s="38">
        <f>+B24*0.58</f>
        <v>313.2</v>
      </c>
      <c r="C25" s="38">
        <v>684</v>
      </c>
      <c r="D25" s="38"/>
      <c r="E25" s="38">
        <f>+E24*0.68</f>
        <v>2223.6000000000004</v>
      </c>
      <c r="F25" s="38">
        <v>369</v>
      </c>
      <c r="G25" s="38">
        <v>203</v>
      </c>
      <c r="H25" s="38">
        <f>+H24*0.714</f>
        <v>1756.4399999999998</v>
      </c>
      <c r="I25" s="38"/>
      <c r="J25" s="38">
        <f>+J24*0.93</f>
        <v>1590.3000000000002</v>
      </c>
      <c r="K25" s="38">
        <v>795</v>
      </c>
      <c r="L25" s="38">
        <v>637</v>
      </c>
      <c r="M25" s="38">
        <f>+M24*0.4048</f>
        <v>170.01599999999999</v>
      </c>
      <c r="N25" s="38">
        <v>1399</v>
      </c>
      <c r="O25" s="38"/>
      <c r="P25" s="38">
        <v>168</v>
      </c>
      <c r="Q25" s="38">
        <v>2486</v>
      </c>
      <c r="R25" s="38">
        <f>+R24*0.07</f>
        <v>558.6</v>
      </c>
      <c r="S25" s="38">
        <f>+S24*0.472</f>
        <v>1571.76</v>
      </c>
      <c r="T25" s="38">
        <f>+T24*0.462</f>
        <v>2910.6000000000004</v>
      </c>
      <c r="U25" s="38">
        <v>338</v>
      </c>
      <c r="V25" s="38">
        <f>+V24*0.85</f>
        <v>637.5</v>
      </c>
      <c r="W25" s="38">
        <v>7223</v>
      </c>
      <c r="X25" s="38">
        <f>+X24*0.48</f>
        <v>835.19999999999993</v>
      </c>
      <c r="Y25" s="38">
        <v>887</v>
      </c>
      <c r="AA25" s="38">
        <v>4763</v>
      </c>
      <c r="AB25" s="38">
        <v>10705</v>
      </c>
      <c r="AC25" s="38">
        <v>282</v>
      </c>
      <c r="AD25" s="38">
        <v>6507</v>
      </c>
      <c r="AE25" s="38">
        <v>1101</v>
      </c>
      <c r="AF25" s="38">
        <v>569</v>
      </c>
      <c r="AG25" s="38">
        <v>5099</v>
      </c>
      <c r="AH25" s="38">
        <v>531</v>
      </c>
      <c r="AI25" s="5">
        <f>SUM(B25:AH25)</f>
        <v>57313.216</v>
      </c>
      <c r="AJ25">
        <f>+AA25+R25+W25+AB25+AD25+T25</f>
        <v>32667.199999999997</v>
      </c>
      <c r="AK25" s="20">
        <f>+C25+H25+N25+Q25+S25+Y25+D25+AG25+X25+AE25</f>
        <v>15819.400000000001</v>
      </c>
      <c r="AL25">
        <f>+B25+E25+P25+AC25+AH25+AF25+K25+L25+V25+U25+Z25+M25+J25+G25+F25</f>
        <v>8826.616</v>
      </c>
      <c r="AM25">
        <f>+Q25+V25+Y25+AH25+N25+H25+E25</f>
        <v>9920.5400000000009</v>
      </c>
      <c r="AN25" s="20">
        <f>+B25+C25+J25+K25+L25+P25+R25+S25+W25+AA25+AB25+AC25+AD25+AF25+T25+D25+AG25+X25+M25+F25+AE25</f>
        <v>46851.675999999999</v>
      </c>
      <c r="AO25">
        <f>+Z25+U25+G25</f>
        <v>541</v>
      </c>
      <c r="AP25">
        <f>+AJ25+AK25+AL25</f>
        <v>57313.216</v>
      </c>
    </row>
    <row r="26" spans="1:43" x14ac:dyDescent="0.2">
      <c r="A26" t="s">
        <v>4</v>
      </c>
      <c r="B26" s="3">
        <f>+B25/B24</f>
        <v>0.57999999999999996</v>
      </c>
      <c r="C26" s="3">
        <f>+C25/C24</f>
        <v>0.43018867924528303</v>
      </c>
      <c r="D26" s="3"/>
      <c r="E26" s="3">
        <f>+E25/E24</f>
        <v>0.68000000000000016</v>
      </c>
      <c r="F26" s="3">
        <f>+F25/F24</f>
        <v>0.72352941176470587</v>
      </c>
      <c r="G26" s="3">
        <f t="shared" ref="G26:Y26" si="6">+G25/G24</f>
        <v>0.48333333333333334</v>
      </c>
      <c r="H26" s="3">
        <f t="shared" si="6"/>
        <v>0.71399999999999997</v>
      </c>
      <c r="I26" s="3"/>
      <c r="J26" s="3">
        <f t="shared" si="6"/>
        <v>0.93000000000000016</v>
      </c>
      <c r="K26" s="3">
        <f t="shared" si="6"/>
        <v>0.69736842105263153</v>
      </c>
      <c r="L26" s="3">
        <f t="shared" si="6"/>
        <v>0.84933333333333338</v>
      </c>
      <c r="M26" s="3">
        <f t="shared" si="6"/>
        <v>0.40479999999999999</v>
      </c>
      <c r="N26" s="3">
        <f t="shared" si="6"/>
        <v>0.64768518518518514</v>
      </c>
      <c r="O26" s="3"/>
      <c r="P26" s="3">
        <f>+P25/P24</f>
        <v>0.224</v>
      </c>
      <c r="Q26" s="3">
        <f t="shared" si="6"/>
        <v>0.84557823129251697</v>
      </c>
      <c r="R26" s="3">
        <f>+R25/R24</f>
        <v>7.0000000000000007E-2</v>
      </c>
      <c r="S26" s="3">
        <f t="shared" si="6"/>
        <v>0.47199999999999998</v>
      </c>
      <c r="T26" s="3">
        <f t="shared" si="6"/>
        <v>0.46200000000000008</v>
      </c>
      <c r="U26" s="3">
        <f t="shared" si="6"/>
        <v>0.24492753623188407</v>
      </c>
      <c r="V26" s="3">
        <f t="shared" si="6"/>
        <v>0.85</v>
      </c>
      <c r="W26" s="3">
        <f t="shared" si="6"/>
        <v>0.51889367816091958</v>
      </c>
      <c r="X26" s="3">
        <f t="shared" si="6"/>
        <v>0.48</v>
      </c>
      <c r="Y26" s="3">
        <f t="shared" si="6"/>
        <v>0.7318481848184818</v>
      </c>
      <c r="AA26" s="3">
        <f t="shared" ref="AA26:AO26" si="7">+AA25/AA24</f>
        <v>0.88203703703703706</v>
      </c>
      <c r="AB26" s="3">
        <f t="shared" si="7"/>
        <v>0.90797285835453778</v>
      </c>
      <c r="AC26" s="3">
        <f t="shared" si="7"/>
        <v>0.78333333333333333</v>
      </c>
      <c r="AD26" s="3">
        <f t="shared" si="7"/>
        <v>0.88893442622950825</v>
      </c>
      <c r="AE26" s="3">
        <f t="shared" si="7"/>
        <v>0.6123470522803115</v>
      </c>
      <c r="AF26" s="3">
        <f t="shared" si="7"/>
        <v>0.37189542483660132</v>
      </c>
      <c r="AG26" s="3">
        <f t="shared" si="7"/>
        <v>0.95486891385767791</v>
      </c>
      <c r="AH26" s="3">
        <f t="shared" si="7"/>
        <v>0.52058823529411768</v>
      </c>
      <c r="AI26" s="6">
        <f t="shared" si="7"/>
        <v>0.6380186574640988</v>
      </c>
      <c r="AJ26" s="3">
        <f t="shared" si="7"/>
        <v>0.61975336748245113</v>
      </c>
      <c r="AK26" s="3">
        <f t="shared" si="7"/>
        <v>0.70090385467434657</v>
      </c>
      <c r="AL26" s="3">
        <f t="shared" si="7"/>
        <v>0.60664027491408934</v>
      </c>
      <c r="AM26" s="3">
        <f t="shared" si="7"/>
        <v>0.71825514045757322</v>
      </c>
      <c r="AN26" s="3">
        <f t="shared" si="7"/>
        <v>0.63127106631814389</v>
      </c>
      <c r="AO26" s="3">
        <f t="shared" si="7"/>
        <v>0.30055555555555558</v>
      </c>
    </row>
    <row r="27" spans="1:43" x14ac:dyDescent="0.2">
      <c r="A27" s="20"/>
      <c r="B27" s="20">
        <v>1</v>
      </c>
      <c r="C27" s="20">
        <v>1</v>
      </c>
      <c r="D27" s="20"/>
      <c r="E27" s="20">
        <v>1</v>
      </c>
      <c r="F27" s="20">
        <v>1</v>
      </c>
      <c r="G27" s="20">
        <v>1</v>
      </c>
      <c r="H27" s="20">
        <v>1</v>
      </c>
      <c r="I27" s="20"/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/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19">
        <f>SUM(B27:AH27)</f>
        <v>29</v>
      </c>
      <c r="AJ27" s="20">
        <f>+AA27+R27+W27+AB27+AD27+T27+AG27</f>
        <v>7</v>
      </c>
      <c r="AK27" s="20">
        <f>+C27+H27+N27+Q27+S27+Y27+D27+X27+AE27+E27</f>
        <v>9</v>
      </c>
      <c r="AL27" s="20">
        <f>+B27+P27+AC27+AH27+AF27+K27+L27+V27+U27+Z27+M27+J27+G27+F27</f>
        <v>13</v>
      </c>
      <c r="AM27" s="20">
        <f>+Q27+V27+Y27+AH27+N27+H27+E27</f>
        <v>7</v>
      </c>
      <c r="AN27" s="20">
        <f>+B27+C27+J27+K27+L27+P27+R27+S27+W27+AA27+AB27+AC27+AD27+AF27+T27+D27+AG27+X27+M27+F27+AE27</f>
        <v>20</v>
      </c>
      <c r="AO27" s="20">
        <f>+Z27+U27+G27</f>
        <v>2</v>
      </c>
    </row>
    <row r="29" spans="1:43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A29" s="1"/>
      <c r="AB29" s="1"/>
      <c r="AC29" s="1"/>
      <c r="AD29" s="1"/>
      <c r="AE29" s="1"/>
      <c r="AI29" s="5"/>
    </row>
    <row r="30" spans="1:43" x14ac:dyDescent="0.2">
      <c r="A30" t="s">
        <v>1</v>
      </c>
      <c r="B30" s="38">
        <v>558</v>
      </c>
      <c r="C30" s="38">
        <v>1643</v>
      </c>
      <c r="D30" s="38"/>
      <c r="E30" s="38">
        <v>3379</v>
      </c>
      <c r="F30" s="38">
        <v>527</v>
      </c>
      <c r="G30" s="38">
        <v>434</v>
      </c>
      <c r="H30" s="38">
        <v>2542</v>
      </c>
      <c r="I30" s="38"/>
      <c r="J30" s="38">
        <v>1767</v>
      </c>
      <c r="K30" s="38">
        <v>1178</v>
      </c>
      <c r="L30" s="38">
        <v>775</v>
      </c>
      <c r="M30" s="38">
        <f>420/30*31</f>
        <v>434</v>
      </c>
      <c r="N30" s="38">
        <v>2232</v>
      </c>
      <c r="O30" s="38"/>
      <c r="P30" s="38">
        <v>434</v>
      </c>
      <c r="Q30" s="38">
        <v>3038</v>
      </c>
      <c r="R30" s="38">
        <v>8246</v>
      </c>
      <c r="S30" s="38">
        <v>3441</v>
      </c>
      <c r="T30" s="38">
        <v>6510</v>
      </c>
      <c r="U30" s="38">
        <v>1426</v>
      </c>
      <c r="V30" s="38">
        <v>775</v>
      </c>
      <c r="W30" s="38">
        <v>14384</v>
      </c>
      <c r="X30" s="38">
        <v>1798</v>
      </c>
      <c r="Y30" s="38">
        <v>1296</v>
      </c>
      <c r="Z30" s="38"/>
      <c r="AA30" s="38">
        <v>5580</v>
      </c>
      <c r="AB30" s="38">
        <v>12183</v>
      </c>
      <c r="AC30" s="38">
        <f>31*12</f>
        <v>372</v>
      </c>
      <c r="AD30" s="38">
        <v>7440</v>
      </c>
      <c r="AE30" s="38">
        <v>1860</v>
      </c>
      <c r="AF30" s="38">
        <v>1468</v>
      </c>
      <c r="AG30" s="38">
        <v>5518</v>
      </c>
      <c r="AH30" s="38">
        <v>1054</v>
      </c>
      <c r="AI30" s="5">
        <f>SUM(B30:AH30)</f>
        <v>92292</v>
      </c>
      <c r="AJ30">
        <f>+AA30+R30+W30+AB30+AD30+T30</f>
        <v>54343</v>
      </c>
      <c r="AK30" s="20">
        <f>+C30+H30+N30+Q30+S30+Y30+D30+AG30+X30+AE30</f>
        <v>23368</v>
      </c>
      <c r="AL30">
        <f>+B30+E30+P30+AC30+AH30+AF30+K30+L30+V30+U30+Z30+M30+J30+G30+F30</f>
        <v>14581</v>
      </c>
      <c r="AM30">
        <f>+Q30+V30+Y30+AH30+N30+H30+E30</f>
        <v>14316</v>
      </c>
      <c r="AN30" s="20">
        <f>+B30+C30+J30+K30+L30+P30+R30+S30+W30+AA30+AB30+AC30+AD30+AF30+T30+D30+AG30+X30+M30+F30+AE30</f>
        <v>76116</v>
      </c>
      <c r="AO30">
        <f>+Z30+U30+G30</f>
        <v>1860</v>
      </c>
      <c r="AP30">
        <f>+AJ30+AK30+AL30</f>
        <v>92292</v>
      </c>
      <c r="AQ30">
        <f>+AM30+AN30+AO30</f>
        <v>92292</v>
      </c>
    </row>
    <row r="31" spans="1:43" x14ac:dyDescent="0.2">
      <c r="A31" t="s">
        <v>2</v>
      </c>
      <c r="B31" s="38">
        <v>166</v>
      </c>
      <c r="C31" s="38">
        <v>887</v>
      </c>
      <c r="D31" s="38"/>
      <c r="E31" s="38">
        <f>+E30*0.69</f>
        <v>2331.5099999999998</v>
      </c>
      <c r="F31" s="38">
        <v>278</v>
      </c>
      <c r="G31" s="38">
        <v>94</v>
      </c>
      <c r="H31" s="38">
        <f>+H30*0.484</f>
        <v>1230.328</v>
      </c>
      <c r="I31" s="38"/>
      <c r="J31" s="38">
        <f>+J30*0.94</f>
        <v>1660.98</v>
      </c>
      <c r="K31" s="38">
        <v>916</v>
      </c>
      <c r="L31" s="38">
        <v>659</v>
      </c>
      <c r="M31" s="38">
        <f>434-347</f>
        <v>87</v>
      </c>
      <c r="N31" s="38">
        <v>865</v>
      </c>
      <c r="O31" s="38"/>
      <c r="P31" s="38">
        <v>11</v>
      </c>
      <c r="Q31" s="38">
        <v>2856</v>
      </c>
      <c r="R31" s="38">
        <f>+R30*0.075</f>
        <v>618.44999999999993</v>
      </c>
      <c r="S31" s="38">
        <f>+S30*0.321</f>
        <v>1104.5609999999999</v>
      </c>
      <c r="T31" s="38">
        <f>+T30*0.302</f>
        <v>1966.02</v>
      </c>
      <c r="U31" s="38">
        <f>+U30*0.365</f>
        <v>520.49</v>
      </c>
      <c r="V31" s="38">
        <f>+V30*0.88</f>
        <v>682</v>
      </c>
      <c r="W31" s="38">
        <v>4273</v>
      </c>
      <c r="X31" s="38">
        <f>+X30*0.38</f>
        <v>683.24</v>
      </c>
      <c r="Y31" s="38">
        <v>774</v>
      </c>
      <c r="Z31" s="38"/>
      <c r="AA31" s="38">
        <v>3726</v>
      </c>
      <c r="AB31" s="38">
        <v>10989</v>
      </c>
      <c r="AC31" s="38">
        <v>257</v>
      </c>
      <c r="AD31" s="38">
        <v>5094</v>
      </c>
      <c r="AE31" s="38">
        <v>1009</v>
      </c>
      <c r="AF31" s="38">
        <v>743</v>
      </c>
      <c r="AG31" s="38">
        <v>4654</v>
      </c>
      <c r="AH31" s="38">
        <v>466</v>
      </c>
      <c r="AI31" s="5">
        <f>SUM(B31:AH31)</f>
        <v>49601.578999999998</v>
      </c>
      <c r="AJ31">
        <f>+AA31+R31+W31+AB31+AD31+T31</f>
        <v>26666.47</v>
      </c>
      <c r="AK31" s="20">
        <f>+C31+H31+N31+Q31+S31+Y31+D31+AG31+X31+AE31</f>
        <v>14063.128999999999</v>
      </c>
      <c r="AL31">
        <f>+B31+E31+P31+AC31+AH31+AF31+K31+L31+V31+U31+Z31+M31+J31+G31+F31</f>
        <v>8871.98</v>
      </c>
      <c r="AM31">
        <f>+Q31+V31+Y31+AH31+N31+H31+E31</f>
        <v>9204.8379999999997</v>
      </c>
      <c r="AN31" s="20">
        <f>+B31+C31+J31+K31+L31+P31+R31+S31+W31+AA31+AB31+AC31+AD31+AF31+T31+D31+AG31+X31+M31+F31+AE31</f>
        <v>39782.250999999997</v>
      </c>
      <c r="AO31">
        <f>+Z31+U31+G31</f>
        <v>614.49</v>
      </c>
      <c r="AP31">
        <f>+AJ31+AK31+AL31</f>
        <v>49601.578999999998</v>
      </c>
      <c r="AQ31">
        <f>+AM31+AN31+AO31</f>
        <v>49601.578999999991</v>
      </c>
    </row>
    <row r="32" spans="1:43" x14ac:dyDescent="0.2">
      <c r="A32" t="s">
        <v>4</v>
      </c>
      <c r="B32" s="3">
        <f>+B31/B30</f>
        <v>0.29749103942652327</v>
      </c>
      <c r="C32" s="3">
        <f>+C31/C30</f>
        <v>0.53986609860012169</v>
      </c>
      <c r="D32" s="3"/>
      <c r="E32" s="3">
        <f t="shared" ref="E32:Y32" si="8">+E31/E30</f>
        <v>0.69</v>
      </c>
      <c r="F32" s="3">
        <f t="shared" si="8"/>
        <v>0.52751423149905119</v>
      </c>
      <c r="G32" s="3">
        <f t="shared" si="8"/>
        <v>0.21658986175115208</v>
      </c>
      <c r="H32" s="3">
        <f t="shared" si="8"/>
        <v>0.48399999999999999</v>
      </c>
      <c r="I32" s="3"/>
      <c r="J32" s="3">
        <f t="shared" si="8"/>
        <v>0.94000000000000006</v>
      </c>
      <c r="K32" s="3">
        <f t="shared" si="8"/>
        <v>0.77758913412563668</v>
      </c>
      <c r="L32" s="3">
        <f t="shared" si="8"/>
        <v>0.85032258064516131</v>
      </c>
      <c r="M32" s="3">
        <f t="shared" si="8"/>
        <v>0.20046082949308755</v>
      </c>
      <c r="N32" s="3">
        <f t="shared" si="8"/>
        <v>0.38754480286738352</v>
      </c>
      <c r="O32" s="3"/>
      <c r="P32" s="3">
        <f t="shared" si="8"/>
        <v>2.5345622119815669E-2</v>
      </c>
      <c r="Q32" s="3">
        <f t="shared" si="8"/>
        <v>0.94009216589861755</v>
      </c>
      <c r="R32" s="3">
        <f t="shared" si="8"/>
        <v>7.4999999999999997E-2</v>
      </c>
      <c r="S32" s="3">
        <f t="shared" si="8"/>
        <v>0.32099999999999995</v>
      </c>
      <c r="T32" s="3">
        <f t="shared" si="8"/>
        <v>0.30199999999999999</v>
      </c>
      <c r="U32" s="3">
        <f t="shared" si="8"/>
        <v>0.36499999999999999</v>
      </c>
      <c r="V32" s="3">
        <f t="shared" si="8"/>
        <v>0.88</v>
      </c>
      <c r="W32" s="3">
        <f t="shared" si="8"/>
        <v>0.29706618464961065</v>
      </c>
      <c r="X32" s="3">
        <f t="shared" si="8"/>
        <v>0.38</v>
      </c>
      <c r="Y32" s="3">
        <f t="shared" si="8"/>
        <v>0.59722222222222221</v>
      </c>
      <c r="AA32" s="3">
        <f>+AA31/AA30</f>
        <v>0.66774193548387095</v>
      </c>
      <c r="AB32" s="3">
        <f>+AB31/AB30</f>
        <v>0.90199458261511944</v>
      </c>
      <c r="AC32" s="3">
        <f>+AC31/AC30</f>
        <v>0.69086021505376349</v>
      </c>
      <c r="AD32" s="3">
        <f>+AD31/AD30</f>
        <v>0.68467741935483872</v>
      </c>
      <c r="AE32" s="3">
        <f>+AE31/AE30</f>
        <v>0.5424731182795699</v>
      </c>
      <c r="AF32" s="3">
        <f t="shared" ref="AF32:AO32" si="9">+AF31/AF30</f>
        <v>0.5061307901907357</v>
      </c>
      <c r="AG32" s="3">
        <f t="shared" si="9"/>
        <v>0.8434215295396883</v>
      </c>
      <c r="AH32" s="3">
        <f t="shared" si="9"/>
        <v>0.44212523719165087</v>
      </c>
      <c r="AI32" s="6">
        <f t="shared" si="9"/>
        <v>0.53744180427339316</v>
      </c>
      <c r="AJ32" s="3">
        <f t="shared" si="9"/>
        <v>0.49070662274810006</v>
      </c>
      <c r="AK32" s="3">
        <f t="shared" si="9"/>
        <v>0.60181140876412187</v>
      </c>
      <c r="AL32" s="3">
        <f t="shared" si="9"/>
        <v>0.60846169672861938</v>
      </c>
      <c r="AM32" s="3">
        <f t="shared" si="9"/>
        <v>0.64297555183012012</v>
      </c>
      <c r="AN32" s="3">
        <f t="shared" si="9"/>
        <v>0.52265293762152498</v>
      </c>
      <c r="AO32" s="3">
        <f t="shared" si="9"/>
        <v>0.33037096774193547</v>
      </c>
    </row>
    <row r="33" spans="1:43" x14ac:dyDescent="0.2">
      <c r="A33" s="20"/>
      <c r="B33" s="20">
        <v>1</v>
      </c>
      <c r="C33" s="20">
        <v>1</v>
      </c>
      <c r="D33" s="20"/>
      <c r="E33" s="20">
        <v>1</v>
      </c>
      <c r="F33" s="20">
        <v>1</v>
      </c>
      <c r="G33" s="20">
        <v>1</v>
      </c>
      <c r="H33" s="20">
        <v>1</v>
      </c>
      <c r="I33" s="20"/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/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19">
        <f>SUM(B33:AH33)</f>
        <v>29</v>
      </c>
      <c r="AJ33" s="20">
        <f>+AA33+R33+W33+AB33+AD33+T33+AG33</f>
        <v>7</v>
      </c>
      <c r="AK33" s="20">
        <f>+C33+H33+N33+Q33+S33+Y33+D33+X33+AE33+E33</f>
        <v>9</v>
      </c>
      <c r="AL33" s="20">
        <f>+B33+P33+AC33+AH33+AF33+K33+L33+V33+U33+Z33+M33+J33+G33+F33</f>
        <v>13</v>
      </c>
      <c r="AM33" s="20">
        <f>+Q33+V33+Y33+AH33+N33+H33+E33</f>
        <v>7</v>
      </c>
      <c r="AN33" s="20">
        <f>+B33+C33+J33+K33+L33+P33+R33+S33+W33+AA33+AB33+AC33+AD33+AF33+T33+D33+AG33+X33+M33+F33+AE33</f>
        <v>20</v>
      </c>
      <c r="AO33" s="20">
        <f>+Z33+U33+G33</f>
        <v>2</v>
      </c>
    </row>
    <row r="34" spans="1:43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AA34" s="20"/>
      <c r="AB34" s="20"/>
      <c r="AC34" s="20"/>
      <c r="AD34" s="20"/>
      <c r="AE34" s="20"/>
      <c r="AF34" s="20"/>
      <c r="AG34" s="20"/>
      <c r="AH34" s="20"/>
      <c r="AI34" s="19"/>
      <c r="AJ34" s="20"/>
      <c r="AK34" s="20"/>
      <c r="AL34" s="20"/>
      <c r="AM34" s="20"/>
      <c r="AN34" s="20"/>
      <c r="AO34" s="20"/>
    </row>
    <row r="35" spans="1:43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AA35" s="1"/>
      <c r="AB35" s="1"/>
      <c r="AC35" s="1"/>
      <c r="AD35" s="1"/>
      <c r="AE35" s="1"/>
      <c r="AI35" s="5"/>
    </row>
    <row r="36" spans="1:43" x14ac:dyDescent="0.2">
      <c r="A36" t="s">
        <v>1</v>
      </c>
      <c r="B36" s="38">
        <v>540</v>
      </c>
      <c r="C36" s="38">
        <v>1590</v>
      </c>
      <c r="D36" s="38"/>
      <c r="E36" s="38">
        <v>3270</v>
      </c>
      <c r="F36" s="38">
        <v>510</v>
      </c>
      <c r="G36" s="38">
        <v>420</v>
      </c>
      <c r="H36" s="38">
        <v>2460</v>
      </c>
      <c r="I36" s="38"/>
      <c r="J36" s="38">
        <v>1710</v>
      </c>
      <c r="K36" s="38">
        <v>1140</v>
      </c>
      <c r="L36" s="38">
        <v>750</v>
      </c>
      <c r="M36" s="38">
        <v>420</v>
      </c>
      <c r="N36" s="38">
        <v>2160</v>
      </c>
      <c r="O36" s="38"/>
      <c r="P36" s="38">
        <v>0</v>
      </c>
      <c r="Q36" s="38">
        <v>2940</v>
      </c>
      <c r="R36" s="38">
        <v>7980</v>
      </c>
      <c r="S36" s="38">
        <v>3330</v>
      </c>
      <c r="T36" s="38">
        <v>0</v>
      </c>
      <c r="U36" s="38">
        <v>1380</v>
      </c>
      <c r="V36" s="38">
        <v>750</v>
      </c>
      <c r="W36" s="38">
        <v>13920</v>
      </c>
      <c r="X36" s="38">
        <v>1740</v>
      </c>
      <c r="Y36" s="38">
        <v>1212</v>
      </c>
      <c r="Z36" s="38"/>
      <c r="AA36" s="38">
        <v>5400</v>
      </c>
      <c r="AB36" s="38">
        <v>11790</v>
      </c>
      <c r="AC36" s="38">
        <v>360</v>
      </c>
      <c r="AD36" s="38">
        <v>7200</v>
      </c>
      <c r="AE36" s="38">
        <v>1809</v>
      </c>
      <c r="AF36" s="38">
        <v>1406</v>
      </c>
      <c r="AG36" s="38">
        <v>5310</v>
      </c>
      <c r="AH36" s="38">
        <v>1020</v>
      </c>
      <c r="AI36" s="5">
        <f>SUM(B36:AH36)</f>
        <v>82517</v>
      </c>
      <c r="AJ36">
        <f>+AA36+R36+W36+AB36+AD36+T36</f>
        <v>46290</v>
      </c>
      <c r="AK36" s="20">
        <f>+C36+H36+N36+Q36+S36+Y36+D36+AG36+X36+AE36</f>
        <v>22551</v>
      </c>
      <c r="AL36">
        <f>+B36+E36+P36+AC36+AH36+AF36+K36+L36+V36+U36+Z36+M36+J36+G36+F36</f>
        <v>13676</v>
      </c>
      <c r="AM36">
        <f>+Q36+V36+Y36+AH36+N36+H36+E36</f>
        <v>13812</v>
      </c>
      <c r="AN36" s="20">
        <f>+B36+C36+J36+K36+L36+P36+R36+S36+W36+AA36+AB36+AC36+AD36+AF36+T36+D36+AG36+X36+M36+F36+AE36</f>
        <v>66905</v>
      </c>
      <c r="AO36">
        <f>+Z36+U36+G36</f>
        <v>1800</v>
      </c>
      <c r="AP36">
        <f>+AJ36+AK36+AL36</f>
        <v>82517</v>
      </c>
      <c r="AQ36">
        <f>+AM36+AN36+AO36</f>
        <v>82517</v>
      </c>
    </row>
    <row r="37" spans="1:43" x14ac:dyDescent="0.2">
      <c r="A37" t="s">
        <v>2</v>
      </c>
      <c r="B37" s="38">
        <f>+B36*0.2</f>
        <v>108</v>
      </c>
      <c r="C37" s="38">
        <f>+C36*0.63</f>
        <v>1001.7</v>
      </c>
      <c r="D37" s="38"/>
      <c r="E37" s="38">
        <v>1903</v>
      </c>
      <c r="F37" s="38">
        <v>374</v>
      </c>
      <c r="G37" s="38">
        <v>101</v>
      </c>
      <c r="H37" s="38">
        <v>883</v>
      </c>
      <c r="I37" s="38"/>
      <c r="J37" s="38">
        <f>+J36*0.94</f>
        <v>1607.3999999999999</v>
      </c>
      <c r="K37" s="38">
        <v>738</v>
      </c>
      <c r="L37" s="38">
        <v>677</v>
      </c>
      <c r="M37" s="38">
        <v>38</v>
      </c>
      <c r="N37" s="38">
        <v>725</v>
      </c>
      <c r="O37" s="38"/>
      <c r="P37" s="38">
        <v>0</v>
      </c>
      <c r="Q37" s="38">
        <v>2375</v>
      </c>
      <c r="R37" s="38">
        <f>+R36*0.16</f>
        <v>1276.8</v>
      </c>
      <c r="S37" s="38">
        <f>+S36*0.4</f>
        <v>1332</v>
      </c>
      <c r="T37" s="38">
        <v>0</v>
      </c>
      <c r="U37" s="38">
        <f>+U36*0.3181</f>
        <v>438.97800000000001</v>
      </c>
      <c r="V37" s="38">
        <f>+V36*0.85</f>
        <v>637.5</v>
      </c>
      <c r="W37" s="38">
        <v>3652</v>
      </c>
      <c r="X37" s="38">
        <f>+X36*0.35</f>
        <v>609</v>
      </c>
      <c r="Y37" s="38">
        <f>+Y36*0.697</f>
        <v>844.7639999999999</v>
      </c>
      <c r="Z37" s="38"/>
      <c r="AA37" s="38">
        <f>+AA36*0.78</f>
        <v>4212</v>
      </c>
      <c r="AB37" s="38">
        <v>9946</v>
      </c>
      <c r="AC37" s="38">
        <v>204</v>
      </c>
      <c r="AD37" s="38">
        <v>4848</v>
      </c>
      <c r="AE37" s="38">
        <v>952</v>
      </c>
      <c r="AF37" s="38">
        <v>846</v>
      </c>
      <c r="AG37" s="38">
        <v>3730</v>
      </c>
      <c r="AH37" s="38">
        <v>268</v>
      </c>
      <c r="AI37" s="5">
        <f>SUM(B37:AH37)</f>
        <v>44328.141999999993</v>
      </c>
      <c r="AJ37">
        <f>+AA37+R37+W37+AB37+AD37+T37</f>
        <v>23934.799999999999</v>
      </c>
      <c r="AK37" s="20">
        <f>+C37+H37+N37+Q37+S37+Y37+D37+AG37+X37+AE37</f>
        <v>12452.464</v>
      </c>
      <c r="AL37">
        <f>+B37+E37+P37+AC37+AH37+AF37+K37+L37+V37+U37+Z37+M37+J37+G37+F37</f>
        <v>7940.8779999999997</v>
      </c>
      <c r="AM37">
        <f>+Q37+V37+Y37+AH37+N37+H37+E37</f>
        <v>7636.2640000000001</v>
      </c>
      <c r="AN37" s="20">
        <f>+B37+C37+J37+K37+L37+P37+R37+S37+W37+AA37+AB37+AC37+AD37+AF37+T37+D37+AG37+X37+M37+F37+AE37</f>
        <v>36151.9</v>
      </c>
      <c r="AO37">
        <f>+Z37+U37+G37</f>
        <v>539.97800000000007</v>
      </c>
      <c r="AP37">
        <f>+AJ37+AK37+AL37</f>
        <v>44328.141999999993</v>
      </c>
      <c r="AQ37">
        <f>+AM37+AN37+AO37</f>
        <v>44328.142000000007</v>
      </c>
    </row>
    <row r="38" spans="1:43" x14ac:dyDescent="0.2">
      <c r="A38" t="s">
        <v>4</v>
      </c>
      <c r="B38" s="3">
        <f>+B37/B36</f>
        <v>0.2</v>
      </c>
      <c r="C38" s="3">
        <f>+C37/C36</f>
        <v>0.63</v>
      </c>
      <c r="D38" s="3"/>
      <c r="E38" s="3">
        <f t="shared" ref="E38:N38" si="10">+E37/E36</f>
        <v>0.58195718654434248</v>
      </c>
      <c r="F38" s="3">
        <f t="shared" si="10"/>
        <v>0.73333333333333328</v>
      </c>
      <c r="G38" s="3">
        <f t="shared" si="10"/>
        <v>0.24047619047619048</v>
      </c>
      <c r="H38" s="3">
        <f t="shared" si="10"/>
        <v>0.35894308943089431</v>
      </c>
      <c r="I38" s="3"/>
      <c r="J38" s="3">
        <f t="shared" si="10"/>
        <v>0.94</v>
      </c>
      <c r="K38" s="3">
        <f t="shared" si="10"/>
        <v>0.64736842105263159</v>
      </c>
      <c r="L38" s="3">
        <f t="shared" si="10"/>
        <v>0.90266666666666662</v>
      </c>
      <c r="M38" s="3">
        <f t="shared" si="10"/>
        <v>9.0476190476190474E-2</v>
      </c>
      <c r="N38" s="3">
        <f t="shared" si="10"/>
        <v>0.33564814814814814</v>
      </c>
      <c r="O38" s="3"/>
      <c r="P38" s="3">
        <v>0</v>
      </c>
      <c r="Q38" s="3">
        <f t="shared" ref="Q38:Y38" si="11">+Q37/Q36</f>
        <v>0.80782312925170063</v>
      </c>
      <c r="R38" s="3">
        <f t="shared" si="11"/>
        <v>0.16</v>
      </c>
      <c r="S38" s="3">
        <f t="shared" si="11"/>
        <v>0.4</v>
      </c>
      <c r="T38" s="3">
        <v>0</v>
      </c>
      <c r="U38" s="3">
        <f t="shared" si="11"/>
        <v>0.31809999999999999</v>
      </c>
      <c r="V38" s="3">
        <f t="shared" si="11"/>
        <v>0.85</v>
      </c>
      <c r="W38" s="3">
        <f t="shared" si="11"/>
        <v>0.26235632183908048</v>
      </c>
      <c r="X38" s="3">
        <f t="shared" si="11"/>
        <v>0.35</v>
      </c>
      <c r="Y38" s="3">
        <f t="shared" si="11"/>
        <v>0.69699999999999995</v>
      </c>
      <c r="AA38" s="3">
        <f t="shared" ref="AA38:AH38" si="12">+AA37/AA36</f>
        <v>0.78</v>
      </c>
      <c r="AB38" s="3">
        <f t="shared" si="12"/>
        <v>0.84359626802374899</v>
      </c>
      <c r="AC38" s="3">
        <f t="shared" si="12"/>
        <v>0.56666666666666665</v>
      </c>
      <c r="AD38" s="3">
        <f t="shared" si="12"/>
        <v>0.67333333333333334</v>
      </c>
      <c r="AE38" s="3">
        <f t="shared" si="12"/>
        <v>0.5262576008844666</v>
      </c>
      <c r="AF38" s="3">
        <f t="shared" si="12"/>
        <v>0.60170697012802277</v>
      </c>
      <c r="AG38" s="3">
        <f t="shared" si="12"/>
        <v>0.7024482109227872</v>
      </c>
      <c r="AH38" s="3">
        <f t="shared" si="12"/>
        <v>0.2627450980392157</v>
      </c>
      <c r="AI38" s="6">
        <f t="shared" ref="AI38:AO38" si="13">+AI37/AI36</f>
        <v>0.53720011633966325</v>
      </c>
      <c r="AJ38" s="3">
        <f t="shared" si="13"/>
        <v>0.51706200043205874</v>
      </c>
      <c r="AK38" s="3">
        <f t="shared" si="13"/>
        <v>0.55219121103277014</v>
      </c>
      <c r="AL38" s="3">
        <f t="shared" si="13"/>
        <v>0.58064331675928627</v>
      </c>
      <c r="AM38" s="3">
        <f t="shared" si="13"/>
        <v>0.55287170576310452</v>
      </c>
      <c r="AN38" s="3">
        <f t="shared" si="13"/>
        <v>0.54034676033181384</v>
      </c>
      <c r="AO38" s="3">
        <f t="shared" si="13"/>
        <v>0.2999877777777778</v>
      </c>
    </row>
    <row r="39" spans="1:43" x14ac:dyDescent="0.2">
      <c r="A39" s="20"/>
      <c r="B39" s="20">
        <v>1</v>
      </c>
      <c r="C39" s="20">
        <v>1</v>
      </c>
      <c r="D39" s="20"/>
      <c r="E39" s="20">
        <v>1</v>
      </c>
      <c r="F39" s="20">
        <v>1</v>
      </c>
      <c r="G39" s="20">
        <v>1</v>
      </c>
      <c r="H39" s="20">
        <v>1</v>
      </c>
      <c r="I39" s="20"/>
      <c r="J39" s="20">
        <v>1</v>
      </c>
      <c r="K39" s="20">
        <v>1</v>
      </c>
      <c r="L39" s="20">
        <v>1</v>
      </c>
      <c r="M39" s="20">
        <v>1</v>
      </c>
      <c r="N39" s="20">
        <v>1</v>
      </c>
      <c r="O39" s="20"/>
      <c r="P39" s="20"/>
      <c r="Q39" s="20">
        <v>1</v>
      </c>
      <c r="R39" s="20">
        <v>1</v>
      </c>
      <c r="S39" s="20">
        <v>1</v>
      </c>
      <c r="T39" s="20"/>
      <c r="U39" s="20">
        <v>1</v>
      </c>
      <c r="V39" s="20">
        <v>1</v>
      </c>
      <c r="W39" s="20">
        <v>1</v>
      </c>
      <c r="X39" s="20">
        <v>1</v>
      </c>
      <c r="Y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19">
        <f>SUM(B39:AH39)</f>
        <v>27</v>
      </c>
      <c r="AJ39" s="20">
        <f>+AA39+R39+W39+AB39+AD39+T39+AG39</f>
        <v>6</v>
      </c>
      <c r="AK39" s="20">
        <f>+C39+H39+N39+Q39+S39+Y39+D39+X39+AE39+E39</f>
        <v>9</v>
      </c>
      <c r="AL39" s="20">
        <f>+B39+P39+AC39+AH39+AF39+K39+L39+V39+U39+Z39+M39+J39+G39+F39</f>
        <v>12</v>
      </c>
      <c r="AM39" s="20">
        <f>+Q39+V39+Y39+AH39+N39+H39+E39</f>
        <v>7</v>
      </c>
      <c r="AN39" s="20">
        <f>+B39+C39+J39+K39+L39+P39+R39+S39+W39+AA39+AB39+AC39+AD39+AF39+T39+D39+AG39+X39+M39+F39+AE39</f>
        <v>18</v>
      </c>
      <c r="AO39" s="20">
        <f>+Z39+U39+G39</f>
        <v>2</v>
      </c>
    </row>
    <row r="40" spans="1:43" x14ac:dyDescent="0.2">
      <c r="H40" s="5"/>
      <c r="I40" s="5"/>
    </row>
    <row r="41" spans="1:43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  <c r="AE41" s="1"/>
      <c r="AI41" s="5"/>
    </row>
    <row r="42" spans="1:43" x14ac:dyDescent="0.2">
      <c r="A42" t="s">
        <v>1</v>
      </c>
      <c r="B42" s="38"/>
      <c r="C42" s="38">
        <v>1643</v>
      </c>
      <c r="D42" s="38"/>
      <c r="E42" s="38">
        <v>3379</v>
      </c>
      <c r="F42" s="38">
        <v>527</v>
      </c>
      <c r="G42" s="38">
        <v>434</v>
      </c>
      <c r="H42" s="38">
        <v>2542</v>
      </c>
      <c r="I42" s="38"/>
      <c r="J42" s="38">
        <v>1767</v>
      </c>
      <c r="K42" s="38">
        <v>1178</v>
      </c>
      <c r="L42" s="38">
        <v>775</v>
      </c>
      <c r="M42" s="38"/>
      <c r="N42" s="38">
        <v>2088</v>
      </c>
      <c r="O42" s="38"/>
      <c r="P42" s="38">
        <v>0</v>
      </c>
      <c r="Q42" s="38">
        <v>3038</v>
      </c>
      <c r="R42" s="38">
        <v>8246</v>
      </c>
      <c r="S42" s="38">
        <v>3441</v>
      </c>
      <c r="T42" s="38">
        <v>6510</v>
      </c>
      <c r="U42" s="38">
        <v>1426</v>
      </c>
      <c r="V42" s="38">
        <v>775</v>
      </c>
      <c r="W42" s="38">
        <v>14384</v>
      </c>
      <c r="X42" s="38">
        <v>1798</v>
      </c>
      <c r="Y42" s="38">
        <f>+Y43/0.62</f>
        <v>1351.6129032258063</v>
      </c>
      <c r="Z42" s="38"/>
      <c r="AA42" s="38">
        <v>5580</v>
      </c>
      <c r="AB42" s="38">
        <v>12183</v>
      </c>
      <c r="AC42" s="38">
        <v>372</v>
      </c>
      <c r="AD42" s="38">
        <v>7440</v>
      </c>
      <c r="AE42" s="38">
        <v>1860</v>
      </c>
      <c r="AF42" s="38">
        <v>1381</v>
      </c>
      <c r="AG42" s="38">
        <v>5487</v>
      </c>
      <c r="AH42" s="38">
        <v>983</v>
      </c>
      <c r="AI42" s="5">
        <f>SUM(B42:AH42)</f>
        <v>90588.612903225803</v>
      </c>
      <c r="AJ42">
        <f>+AA42+R42+W42+AB42+AD42+T42</f>
        <v>54343</v>
      </c>
      <c r="AK42" s="20">
        <f>+C42+H42+N42+Q42+S42+Y42+D42+AG42+X42+AE42</f>
        <v>23248.612903225807</v>
      </c>
      <c r="AL42">
        <f>+B42+E42+P42+AC42+AH42+AF42+K42+L42+V42+U42+Z42+M42+J42+G42+F42</f>
        <v>12997</v>
      </c>
      <c r="AM42">
        <f>+Q42+V42+Y42+AH42+N42+H42+E42</f>
        <v>14156.612903225807</v>
      </c>
      <c r="AN42" s="20">
        <f>+B42+C42+J42+K42+L42+P42+R42+S42+W42+AA42+AB42+AC42+AD42+AF42+T42+D42+AG42+X42+M42+F42+AE42</f>
        <v>74572</v>
      </c>
      <c r="AO42">
        <f>+Z42+U42+G42</f>
        <v>1860</v>
      </c>
      <c r="AP42">
        <f>+AJ42+AK42+AL42</f>
        <v>90588.612903225803</v>
      </c>
      <c r="AQ42">
        <f>+AM42+AN42+AO42</f>
        <v>90588.612903225803</v>
      </c>
    </row>
    <row r="43" spans="1:43" x14ac:dyDescent="0.2">
      <c r="A43" t="s">
        <v>2</v>
      </c>
      <c r="B43" s="38"/>
      <c r="C43" s="38">
        <f>+C42*0.71</f>
        <v>1166.53</v>
      </c>
      <c r="D43" s="38"/>
      <c r="E43" s="38">
        <f>+E42*0.59</f>
        <v>1993.61</v>
      </c>
      <c r="F43" s="38">
        <v>376</v>
      </c>
      <c r="G43" s="38">
        <v>129</v>
      </c>
      <c r="H43" s="38">
        <f>+H42*0.421</f>
        <v>1070.182</v>
      </c>
      <c r="I43" s="38"/>
      <c r="J43" s="38">
        <f>+J42*0.93</f>
        <v>1643.3100000000002</v>
      </c>
      <c r="K43" s="38">
        <v>647</v>
      </c>
      <c r="L43" s="38">
        <f>+L42*0.8</f>
        <v>620</v>
      </c>
      <c r="M43" s="38"/>
      <c r="N43" s="38">
        <v>794</v>
      </c>
      <c r="O43" s="38"/>
      <c r="P43" s="38">
        <v>0</v>
      </c>
      <c r="Q43" s="38">
        <v>2357</v>
      </c>
      <c r="R43" s="38">
        <f>+R42*0.127</f>
        <v>1047.242</v>
      </c>
      <c r="S43" s="38">
        <f>+S42*0.4</f>
        <v>1376.4</v>
      </c>
      <c r="T43" s="38">
        <f>+T42*0.3</f>
        <v>1953</v>
      </c>
      <c r="U43" s="38">
        <f>+U42*0.337</f>
        <v>480.56200000000001</v>
      </c>
      <c r="V43" s="38">
        <f>+V42*0.89</f>
        <v>689.75</v>
      </c>
      <c r="W43" s="38">
        <v>5603</v>
      </c>
      <c r="X43" s="38">
        <f>+X42*0.49</f>
        <v>881.02</v>
      </c>
      <c r="Y43" s="38">
        <v>838</v>
      </c>
      <c r="Z43" s="38"/>
      <c r="AA43" s="38">
        <v>3925</v>
      </c>
      <c r="AB43" s="38">
        <v>9532</v>
      </c>
      <c r="AC43" s="38">
        <v>232</v>
      </c>
      <c r="AD43" s="38">
        <v>6257</v>
      </c>
      <c r="AE43" s="38">
        <f>+AE42*0.456</f>
        <v>848.16000000000008</v>
      </c>
      <c r="AF43" s="38">
        <v>611</v>
      </c>
      <c r="AG43" s="38">
        <v>4772</v>
      </c>
      <c r="AH43" s="38">
        <v>174</v>
      </c>
      <c r="AI43" s="5">
        <f>SUM(B43:AH43)</f>
        <v>50016.766000000003</v>
      </c>
      <c r="AJ43">
        <f>+AA43+R43+W43+AB43+AD43+T43</f>
        <v>28317.241999999998</v>
      </c>
      <c r="AK43" s="20">
        <f>+C43+H43+N43+Q43+S43+Y43+D43+AG43+X43+AE43</f>
        <v>14103.291999999999</v>
      </c>
      <c r="AL43">
        <f>+B43+E43+P43+AC43+AH43+AF43+K43+L43+V43+U43+Z43+M43+J43+G43+F43</f>
        <v>7596.232</v>
      </c>
      <c r="AM43">
        <f>+Q43+V43+Y43+AH43+N43+H43+E43</f>
        <v>7916.5419999999995</v>
      </c>
      <c r="AN43" s="20">
        <f>+B43+C43+J43+K43+L43+P43+R43+S43+W43+AA43+AB43+AC43+AD43+AF43+T43+D43+AG43+X43+M43+F43+AE43</f>
        <v>41490.662000000004</v>
      </c>
      <c r="AO43">
        <f>+Z43+U43+G43</f>
        <v>609.56200000000001</v>
      </c>
      <c r="AP43">
        <f>+AJ43+AK43+AL43</f>
        <v>50016.766000000003</v>
      </c>
      <c r="AQ43">
        <f>+AM43+AN43+AO43</f>
        <v>50016.766000000003</v>
      </c>
    </row>
    <row r="44" spans="1:43" x14ac:dyDescent="0.2">
      <c r="A44" t="s">
        <v>4</v>
      </c>
      <c r="B44" s="3">
        <v>0</v>
      </c>
      <c r="C44" s="3">
        <f>+C43/C42</f>
        <v>0.71</v>
      </c>
      <c r="D44" s="3"/>
      <c r="E44" s="3">
        <f t="shared" ref="E44:L44" si="14">+E43/E42</f>
        <v>0.59</v>
      </c>
      <c r="F44" s="3">
        <f t="shared" si="14"/>
        <v>0.71347248576850097</v>
      </c>
      <c r="G44" s="3">
        <f t="shared" si="14"/>
        <v>0.29723502304147464</v>
      </c>
      <c r="H44" s="3">
        <f t="shared" si="14"/>
        <v>0.42099999999999999</v>
      </c>
      <c r="I44" s="3"/>
      <c r="J44" s="3">
        <f t="shared" si="14"/>
        <v>0.93</v>
      </c>
      <c r="K44" s="3">
        <f t="shared" si="14"/>
        <v>0.54923599320882854</v>
      </c>
      <c r="L44" s="3">
        <f t="shared" si="14"/>
        <v>0.8</v>
      </c>
      <c r="M44" s="3">
        <v>0</v>
      </c>
      <c r="N44" s="3">
        <f>+N43/N42</f>
        <v>0.38026819923371646</v>
      </c>
      <c r="O44" s="3"/>
      <c r="P44" s="3">
        <v>0</v>
      </c>
      <c r="Q44" s="3">
        <f t="shared" ref="Q44:W44" si="15">+Q43/Q42</f>
        <v>0.77583936800526665</v>
      </c>
      <c r="R44" s="3">
        <f t="shared" si="15"/>
        <v>0.127</v>
      </c>
      <c r="S44" s="3">
        <f t="shared" si="15"/>
        <v>0.4</v>
      </c>
      <c r="T44" s="3">
        <f t="shared" si="15"/>
        <v>0.3</v>
      </c>
      <c r="U44" s="3">
        <f t="shared" si="15"/>
        <v>0.33700000000000002</v>
      </c>
      <c r="V44" s="3">
        <f t="shared" si="15"/>
        <v>0.89</v>
      </c>
      <c r="W44" s="3">
        <f t="shared" si="15"/>
        <v>0.38953003337041159</v>
      </c>
      <c r="X44" s="3">
        <f>+X43/X42</f>
        <v>0.49</v>
      </c>
      <c r="Y44" s="3">
        <f>+Y43/Y42</f>
        <v>0.62</v>
      </c>
      <c r="Z44" s="3">
        <v>0</v>
      </c>
      <c r="AA44" s="3">
        <f>+AA43/AA42</f>
        <v>0.70340501792114696</v>
      </c>
      <c r="AB44" s="3">
        <f>+AB43/AB42</f>
        <v>0.78240170729705327</v>
      </c>
      <c r="AC44" s="3">
        <f>+AC43/AC42</f>
        <v>0.62365591397849462</v>
      </c>
      <c r="AD44" s="3">
        <f>+AD43/AD42</f>
        <v>0.84099462365591393</v>
      </c>
      <c r="AE44" s="3">
        <f>+AE43/AE42</f>
        <v>0.45600000000000002</v>
      </c>
      <c r="AF44" s="3">
        <f t="shared" ref="AF44:AO44" si="16">+AF43/AF42</f>
        <v>0.44243301955104997</v>
      </c>
      <c r="AG44" s="3">
        <f t="shared" si="16"/>
        <v>0.86969199927100416</v>
      </c>
      <c r="AH44" s="3">
        <f t="shared" si="16"/>
        <v>0.17700915564598169</v>
      </c>
      <c r="AI44" s="6">
        <f t="shared" si="16"/>
        <v>0.55213082965992666</v>
      </c>
      <c r="AJ44" s="3">
        <f t="shared" si="16"/>
        <v>0.52108352501702149</v>
      </c>
      <c r="AK44" s="3">
        <f t="shared" si="16"/>
        <v>0.60662939585712361</v>
      </c>
      <c r="AL44" s="3">
        <f t="shared" si="16"/>
        <v>0.5844604139416788</v>
      </c>
      <c r="AM44" s="3">
        <f t="shared" si="16"/>
        <v>0.55921158924929637</v>
      </c>
      <c r="AN44" s="3">
        <f t="shared" si="16"/>
        <v>0.55638392426111682</v>
      </c>
      <c r="AO44" s="3">
        <f t="shared" si="16"/>
        <v>0.32772150537634409</v>
      </c>
    </row>
    <row r="45" spans="1:43" x14ac:dyDescent="0.2">
      <c r="A45" s="20"/>
      <c r="B45" s="38"/>
      <c r="C45" s="39">
        <v>1</v>
      </c>
      <c r="D45" s="39"/>
      <c r="E45" s="39">
        <v>1</v>
      </c>
      <c r="F45" s="39">
        <v>1</v>
      </c>
      <c r="G45" s="39">
        <v>1</v>
      </c>
      <c r="H45" s="39">
        <v>1</v>
      </c>
      <c r="I45" s="39"/>
      <c r="J45" s="39">
        <v>1</v>
      </c>
      <c r="K45" s="39">
        <v>1</v>
      </c>
      <c r="L45" s="39">
        <v>1</v>
      </c>
      <c r="M45" s="39"/>
      <c r="N45" s="39">
        <v>1</v>
      </c>
      <c r="O45" s="39"/>
      <c r="P45" s="39"/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>
        <v>1</v>
      </c>
      <c r="Z45" s="39"/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19">
        <f>SUM(B45:AH45)</f>
        <v>26</v>
      </c>
      <c r="AJ45" s="20">
        <f>+AA45+R45+W45+AB45+AD45+T45+AG45</f>
        <v>7</v>
      </c>
      <c r="AK45" s="20">
        <f>+C45+H45+N45+Q45+S45+Y45+D45+X45+AE45+E45</f>
        <v>9</v>
      </c>
      <c r="AL45" s="20">
        <f>+B45+P45+AC45+AH45+AF45+K45+L45+V45+U45+Z45+M45+J45+G45+F45</f>
        <v>10</v>
      </c>
      <c r="AM45" s="20">
        <f>+Q45+V45+Y45+AH45+N45+H45+E45</f>
        <v>7</v>
      </c>
      <c r="AN45" s="20">
        <f>+B45+C45+J45+K45+L45+P45+R45+S45+W45+AA45+AB45+AC45+AD45+AF45+T45+D45+AG45+X45+M45+F45+AE45</f>
        <v>17</v>
      </c>
      <c r="AO45" s="20">
        <f>+Z45+U45+G45</f>
        <v>2</v>
      </c>
    </row>
    <row r="46" spans="1:43" x14ac:dyDescent="0.2">
      <c r="H46" s="40"/>
      <c r="I46" s="40"/>
      <c r="AE46" t="s">
        <v>15</v>
      </c>
    </row>
    <row r="47" spans="1:43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  <c r="AE47" s="1"/>
      <c r="AI47" s="5"/>
    </row>
    <row r="48" spans="1:43" x14ac:dyDescent="0.2">
      <c r="A48" t="s">
        <v>1</v>
      </c>
      <c r="B48" s="38"/>
      <c r="C48" s="38">
        <v>1643</v>
      </c>
      <c r="D48" s="38"/>
      <c r="E48" s="38">
        <v>3379</v>
      </c>
      <c r="F48" s="38">
        <v>527</v>
      </c>
      <c r="G48" s="38">
        <v>434</v>
      </c>
      <c r="H48" s="38"/>
      <c r="I48" s="38"/>
      <c r="J48" s="38">
        <v>1767</v>
      </c>
      <c r="K48" s="38">
        <v>1178</v>
      </c>
      <c r="L48" s="38">
        <v>775</v>
      </c>
      <c r="M48" s="38"/>
      <c r="N48" s="38">
        <v>0</v>
      </c>
      <c r="O48" s="38"/>
      <c r="P48" s="38">
        <v>0</v>
      </c>
      <c r="Q48" s="38">
        <v>3038</v>
      </c>
      <c r="R48" s="38">
        <v>8246</v>
      </c>
      <c r="S48" s="38">
        <v>3441</v>
      </c>
      <c r="T48" s="38">
        <v>6510</v>
      </c>
      <c r="U48" s="38">
        <v>1426</v>
      </c>
      <c r="V48" s="38">
        <v>0</v>
      </c>
      <c r="W48" s="38">
        <v>14384</v>
      </c>
      <c r="X48" s="38">
        <v>1798</v>
      </c>
      <c r="Y48" s="38">
        <f>+Y49/0.5856</f>
        <v>1039.9590163934427</v>
      </c>
      <c r="Z48" s="38"/>
      <c r="AA48" s="38">
        <v>5580</v>
      </c>
      <c r="AB48" s="38">
        <v>12183</v>
      </c>
      <c r="AC48" s="38">
        <v>372</v>
      </c>
      <c r="AD48" s="38">
        <v>7378</v>
      </c>
      <c r="AE48" s="38">
        <v>1860</v>
      </c>
      <c r="AF48" s="38">
        <v>1581</v>
      </c>
      <c r="AG48" s="38">
        <v>5518</v>
      </c>
      <c r="AH48" s="38">
        <v>983</v>
      </c>
      <c r="AI48" s="5">
        <f>SUM(C48:AH48)</f>
        <v>85040.959016393434</v>
      </c>
      <c r="AJ48">
        <f>+AA48+R48+W48+AB48+AD48+T48</f>
        <v>54281</v>
      </c>
      <c r="AK48" s="20">
        <f>+C48+H48+N48+Q48+S48+Y48+D48+AG48+X48+AE48</f>
        <v>18337.959016393441</v>
      </c>
      <c r="AL48">
        <f>+B48+E48+P48+AC48+AH48+AF48+K48+L48+V48+U48+Z48+M48+J48+G48+F48</f>
        <v>12422</v>
      </c>
      <c r="AM48">
        <f>+Q48+V48+Y48+AH48+N48+H48+E48</f>
        <v>8439.9590163934427</v>
      </c>
      <c r="AN48" s="20">
        <f>+B48+C48+J48+K48+L48+P48+R48+S48+W48+AA48+AB48+AC48+AD48+AF48+T48+D48+AG48+X48+M48+F48+AE48</f>
        <v>74741</v>
      </c>
      <c r="AO48">
        <f>+Z48+U48+G48</f>
        <v>1860</v>
      </c>
      <c r="AP48">
        <f>+AJ48+AK48+AL48</f>
        <v>85040.959016393434</v>
      </c>
      <c r="AQ48">
        <f>+AM48+AN48+AO48</f>
        <v>85040.959016393448</v>
      </c>
    </row>
    <row r="49" spans="1:43" x14ac:dyDescent="0.2">
      <c r="A49" t="s">
        <v>2</v>
      </c>
      <c r="B49" s="38"/>
      <c r="C49" s="38">
        <v>1167</v>
      </c>
      <c r="D49" s="38"/>
      <c r="E49" s="38">
        <f>+E48*0.45</f>
        <v>1520.55</v>
      </c>
      <c r="F49" s="38">
        <v>428</v>
      </c>
      <c r="G49" s="38">
        <v>227</v>
      </c>
      <c r="H49" s="38"/>
      <c r="I49" s="38"/>
      <c r="J49" s="38">
        <f>+J48*0.89</f>
        <v>1572.63</v>
      </c>
      <c r="K49" s="38">
        <v>895</v>
      </c>
      <c r="L49" s="38">
        <f>+L48*0.77</f>
        <v>596.75</v>
      </c>
      <c r="M49" s="38"/>
      <c r="N49" s="38">
        <v>0</v>
      </c>
      <c r="O49" s="38"/>
      <c r="P49" s="38">
        <v>0</v>
      </c>
      <c r="Q49" s="38">
        <v>1833</v>
      </c>
      <c r="R49" s="38">
        <f>+R48*0.18</f>
        <v>1484.28</v>
      </c>
      <c r="S49" s="38">
        <v>664</v>
      </c>
      <c r="T49" s="38">
        <f>+T48*0.55</f>
        <v>3580.5000000000005</v>
      </c>
      <c r="U49" s="38">
        <v>553</v>
      </c>
      <c r="V49" s="38">
        <v>0</v>
      </c>
      <c r="W49" s="38">
        <v>6167</v>
      </c>
      <c r="X49" s="38">
        <f>+X48*0.49</f>
        <v>881.02</v>
      </c>
      <c r="Y49" s="38">
        <v>609</v>
      </c>
      <c r="Z49" s="38"/>
      <c r="AA49" s="38">
        <v>4228</v>
      </c>
      <c r="AB49" s="38">
        <f>+AB48*0.58</f>
        <v>7066.1399999999994</v>
      </c>
      <c r="AC49" s="38">
        <v>253</v>
      </c>
      <c r="AD49" s="38">
        <v>5823</v>
      </c>
      <c r="AE49" s="38">
        <f>+AE48*0.462</f>
        <v>859.32</v>
      </c>
      <c r="AF49" s="38">
        <v>753</v>
      </c>
      <c r="AG49" s="38">
        <v>4904</v>
      </c>
      <c r="AH49" s="38">
        <v>228</v>
      </c>
      <c r="AI49" s="5">
        <f>SUM(C49:AH49)</f>
        <v>46293.189999999995</v>
      </c>
      <c r="AJ49">
        <f>+AA49+R49+W49+AB49+AD49+T49</f>
        <v>28348.92</v>
      </c>
      <c r="AK49" s="20">
        <f>+C49+H49+N49+Q49+S49+Y49+D49+AG49+X49+AE49</f>
        <v>10917.34</v>
      </c>
      <c r="AL49">
        <f>+B49+E49+P49+AC49+AH49+AF49+K49+L49+V49+U49+Z49+M49+J49+G49+F49</f>
        <v>7026.93</v>
      </c>
      <c r="AM49">
        <f>+Q49+V49+Y49+AH49+N49+H49+E49</f>
        <v>4190.55</v>
      </c>
      <c r="AN49" s="20">
        <f>+B49+C49+J49+K49+L49+P49+R49+S49+W49+AA49+AB49+AC49+AD49+AF49+T49+D49+AG49+X49+M49+F49+AE49</f>
        <v>41322.639999999999</v>
      </c>
      <c r="AO49">
        <f>+Z49+U49+G49</f>
        <v>780</v>
      </c>
      <c r="AP49">
        <f>+AJ49+AK49+AL49</f>
        <v>46293.189999999995</v>
      </c>
      <c r="AQ49">
        <f>+AM49+AN49+AO49</f>
        <v>46293.19</v>
      </c>
    </row>
    <row r="50" spans="1:43" x14ac:dyDescent="0.2">
      <c r="A50" t="s">
        <v>4</v>
      </c>
      <c r="B50" s="3">
        <v>0</v>
      </c>
      <c r="C50" s="3">
        <f>+C49/C48</f>
        <v>0.71028606208155809</v>
      </c>
      <c r="D50" s="3"/>
      <c r="E50" s="3">
        <f t="shared" ref="E50:L50" si="17">+E49/E48</f>
        <v>0.45</v>
      </c>
      <c r="F50" s="3">
        <f t="shared" si="17"/>
        <v>0.81214421252371916</v>
      </c>
      <c r="G50" s="3">
        <f t="shared" si="17"/>
        <v>0.52304147465437789</v>
      </c>
      <c r="H50" s="3">
        <v>0</v>
      </c>
      <c r="I50" s="3"/>
      <c r="J50" s="3">
        <f t="shared" si="17"/>
        <v>0.89</v>
      </c>
      <c r="K50" s="3">
        <f t="shared" si="17"/>
        <v>0.75976230899830222</v>
      </c>
      <c r="L50" s="3">
        <f t="shared" si="17"/>
        <v>0.77</v>
      </c>
      <c r="M50" s="3">
        <v>0</v>
      </c>
      <c r="N50" s="3">
        <v>0</v>
      </c>
      <c r="O50" s="3"/>
      <c r="P50" s="3">
        <v>0</v>
      </c>
      <c r="Q50" s="3">
        <f t="shared" ref="Q50:W50" si="18">+Q49/Q48</f>
        <v>0.60335747202106649</v>
      </c>
      <c r="R50" s="3">
        <f t="shared" si="18"/>
        <v>0.18</v>
      </c>
      <c r="S50" s="3">
        <f t="shared" si="18"/>
        <v>0.1929671607090962</v>
      </c>
      <c r="T50" s="3">
        <f t="shared" si="18"/>
        <v>0.55000000000000004</v>
      </c>
      <c r="U50" s="3">
        <f t="shared" si="18"/>
        <v>0.38779803646563815</v>
      </c>
      <c r="V50" s="3">
        <v>0</v>
      </c>
      <c r="W50" s="3">
        <f t="shared" si="18"/>
        <v>0.42874026696329254</v>
      </c>
      <c r="X50" s="3">
        <f>+X49/X48</f>
        <v>0.49</v>
      </c>
      <c r="Y50" s="3">
        <f>+Y49/Y48</f>
        <v>0.58560000000000001</v>
      </c>
      <c r="Z50" s="3">
        <v>0</v>
      </c>
      <c r="AA50" s="3">
        <f>+AA49/AA48</f>
        <v>0.75770609318996418</v>
      </c>
      <c r="AB50" s="3">
        <f>+AB49/AB48</f>
        <v>0.57999999999999996</v>
      </c>
      <c r="AC50" s="3">
        <f>+AC49/AC48</f>
        <v>0.68010752688172038</v>
      </c>
      <c r="AD50" s="3">
        <f>+AD49/AD48</f>
        <v>0.78923827595554352</v>
      </c>
      <c r="AE50" s="3">
        <f>+AE49/AE48</f>
        <v>0.46200000000000002</v>
      </c>
      <c r="AF50" s="3">
        <f t="shared" ref="AF50:AO50" si="19">+AF49/AF48</f>
        <v>0.47628083491461098</v>
      </c>
      <c r="AG50" s="3">
        <f t="shared" si="19"/>
        <v>0.88872779992750994</v>
      </c>
      <c r="AH50" s="3">
        <f t="shared" si="19"/>
        <v>0.23194303153611392</v>
      </c>
      <c r="AI50" s="6">
        <f t="shared" si="19"/>
        <v>0.54436345186413071</v>
      </c>
      <c r="AJ50" s="3">
        <f t="shared" si="19"/>
        <v>0.52226230172620247</v>
      </c>
      <c r="AK50" s="3">
        <f t="shared" si="19"/>
        <v>0.59534106223273331</v>
      </c>
      <c r="AL50" s="3">
        <f t="shared" si="19"/>
        <v>0.56568426984382547</v>
      </c>
      <c r="AM50" s="3">
        <f t="shared" si="19"/>
        <v>0.49651307451380294</v>
      </c>
      <c r="AN50" s="3">
        <f t="shared" si="19"/>
        <v>0.55287780468551395</v>
      </c>
      <c r="AO50" s="3">
        <f t="shared" si="19"/>
        <v>0.41935483870967744</v>
      </c>
    </row>
    <row r="51" spans="1:43" x14ac:dyDescent="0.2">
      <c r="A51" s="20"/>
      <c r="B51" s="20"/>
      <c r="C51" s="39">
        <v>1</v>
      </c>
      <c r="D51" s="39"/>
      <c r="E51" s="39">
        <v>1</v>
      </c>
      <c r="F51" s="39">
        <v>1</v>
      </c>
      <c r="G51" s="39">
        <v>1</v>
      </c>
      <c r="H51" s="39"/>
      <c r="I51" s="39"/>
      <c r="J51" s="39">
        <v>1</v>
      </c>
      <c r="K51" s="39">
        <v>1</v>
      </c>
      <c r="L51" s="39">
        <v>1</v>
      </c>
      <c r="M51" s="39"/>
      <c r="N51" s="39"/>
      <c r="O51" s="39"/>
      <c r="P51" s="39"/>
      <c r="Q51" s="39">
        <v>1</v>
      </c>
      <c r="R51" s="39">
        <v>1</v>
      </c>
      <c r="S51" s="39">
        <v>1</v>
      </c>
      <c r="T51" s="39">
        <v>1</v>
      </c>
      <c r="U51" s="39">
        <v>1</v>
      </c>
      <c r="V51" s="39"/>
      <c r="W51" s="39">
        <v>1</v>
      </c>
      <c r="X51" s="39">
        <v>1</v>
      </c>
      <c r="Y51" s="39">
        <v>1</v>
      </c>
      <c r="Z51" s="39"/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19">
        <f>SUM(C51:AH51)</f>
        <v>23</v>
      </c>
      <c r="AJ51" s="20">
        <f>+AA51+R51+W51+AB51+AD51+T51+AG51</f>
        <v>7</v>
      </c>
      <c r="AK51" s="20">
        <f>+C51+H51+N51+Q51+S51+Y51+D51+X51+AE51+E51</f>
        <v>7</v>
      </c>
      <c r="AL51" s="20">
        <f>+B51+P51+AC51+AH51+AF51+K51+L51+V51+U51+Z51+M51+J51+G51+F51</f>
        <v>9</v>
      </c>
      <c r="AM51" s="20">
        <f>+Q51+V51+Y51+AH51+N51+H51+E51</f>
        <v>4</v>
      </c>
      <c r="AN51" s="20">
        <f>+B51+C51+J51+K51+L51+P51+R51+S51+W51+AA51+AB51+AC51+AD51+AF51+T51+D51+AG51+X51+M51+F51+AE51</f>
        <v>17</v>
      </c>
      <c r="AO51" s="20">
        <f>+Z51+U51+G51</f>
        <v>2</v>
      </c>
    </row>
    <row r="52" spans="1:43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19"/>
      <c r="AJ52" s="20"/>
      <c r="AK52" s="20"/>
      <c r="AL52" s="20"/>
      <c r="AM52" s="20"/>
      <c r="AN52" s="20"/>
      <c r="AO52" s="20"/>
    </row>
    <row r="53" spans="1:43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  <c r="AE53" s="1"/>
      <c r="AI53" s="5"/>
    </row>
    <row r="54" spans="1:43" x14ac:dyDescent="0.2">
      <c r="A54" t="s">
        <v>1</v>
      </c>
      <c r="B54" s="38"/>
      <c r="C54" s="38">
        <v>1590</v>
      </c>
      <c r="D54" s="38"/>
      <c r="E54" s="38">
        <f>3379/31*7</f>
        <v>763</v>
      </c>
      <c r="F54" s="38">
        <v>510</v>
      </c>
      <c r="G54" s="38">
        <v>420</v>
      </c>
      <c r="H54" s="38"/>
      <c r="I54" s="38">
        <f>30*50</f>
        <v>1500</v>
      </c>
      <c r="J54" s="38">
        <f>+J48/31*12</f>
        <v>684</v>
      </c>
      <c r="K54" s="38">
        <v>1140</v>
      </c>
      <c r="L54" s="38"/>
      <c r="M54" s="38"/>
      <c r="N54" s="38"/>
      <c r="O54" s="38"/>
      <c r="P54" s="38">
        <v>0</v>
      </c>
      <c r="Q54" s="38">
        <v>2940</v>
      </c>
      <c r="R54" s="38">
        <v>7980</v>
      </c>
      <c r="S54" s="38">
        <v>3330</v>
      </c>
      <c r="T54" s="38">
        <f>6510/31*30</f>
        <v>6300</v>
      </c>
      <c r="U54" s="38">
        <v>1380</v>
      </c>
      <c r="V54" s="38"/>
      <c r="W54" s="38">
        <v>13920</v>
      </c>
      <c r="X54" s="38">
        <v>1740</v>
      </c>
      <c r="Y54" s="38"/>
      <c r="Z54" s="38"/>
      <c r="AA54" s="38">
        <v>5400</v>
      </c>
      <c r="AB54" s="38">
        <v>11790</v>
      </c>
      <c r="AC54" s="38">
        <v>360</v>
      </c>
      <c r="AD54" s="38">
        <v>7140</v>
      </c>
      <c r="AE54" s="38">
        <f>60*8</f>
        <v>480</v>
      </c>
      <c r="AF54" s="38">
        <v>1530</v>
      </c>
      <c r="AG54" s="38">
        <v>5340</v>
      </c>
      <c r="AH54" s="38">
        <v>0</v>
      </c>
      <c r="AI54" s="5">
        <f>SUM(C54:AH54)</f>
        <v>76237</v>
      </c>
      <c r="AJ54">
        <f>+AA54+R54+W54+AB54+AD54+T54</f>
        <v>52530</v>
      </c>
      <c r="AK54" s="20">
        <f>+C54+H54+N54+Q54+S54+Y54+D54+AG54+X54+AE54</f>
        <v>15420</v>
      </c>
      <c r="AL54">
        <f>+B54+E54+P54+AC54+AH54+AF54+K54+L54+V54+U54+Z54+M54+J54+G54+F54+I54</f>
        <v>8287</v>
      </c>
      <c r="AM54">
        <f>+Q54+V54+Y54+AH54+N54+H54+E54</f>
        <v>3703</v>
      </c>
      <c r="AN54" s="20">
        <f>+B54+C54+J54+K54+L54+P54+R54+S54+W54+AA54+AB54+AC54+AD54+AF54+T54+D54+AG54+X54+M54+F54+AE54</f>
        <v>69234</v>
      </c>
      <c r="AO54">
        <f>+Z54+U54+G54+I54</f>
        <v>3300</v>
      </c>
      <c r="AP54">
        <f>+AJ54+AK54+AL54</f>
        <v>76237</v>
      </c>
      <c r="AQ54">
        <f>+AM54+AN54+AO54</f>
        <v>76237</v>
      </c>
    </row>
    <row r="55" spans="1:43" x14ac:dyDescent="0.2">
      <c r="A55" t="s">
        <v>2</v>
      </c>
      <c r="B55" s="38"/>
      <c r="C55" s="38">
        <f>+C54*0.2</f>
        <v>318</v>
      </c>
      <c r="D55" s="38"/>
      <c r="E55" s="38">
        <v>54</v>
      </c>
      <c r="F55" s="38">
        <f>+F54*0.504</f>
        <v>257.04000000000002</v>
      </c>
      <c r="G55" s="38">
        <v>58</v>
      </c>
      <c r="H55" s="38"/>
      <c r="I55" s="38">
        <f>+I54*0.15</f>
        <v>225</v>
      </c>
      <c r="J55" s="38">
        <f>+J54*0.44</f>
        <v>300.95999999999998</v>
      </c>
      <c r="K55" s="38">
        <v>939</v>
      </c>
      <c r="L55" s="38"/>
      <c r="M55" s="38"/>
      <c r="N55" s="38"/>
      <c r="O55" s="38"/>
      <c r="P55" s="38">
        <v>0</v>
      </c>
      <c r="Q55" s="38">
        <v>2057</v>
      </c>
      <c r="R55" s="38">
        <f>+R54*0.062</f>
        <v>494.76</v>
      </c>
      <c r="S55" s="38">
        <v>446</v>
      </c>
      <c r="T55" s="38">
        <f>+T54*0.31</f>
        <v>1953</v>
      </c>
      <c r="U55" s="38">
        <f>+U54*0.348</f>
        <v>480.23999999999995</v>
      </c>
      <c r="V55" s="38"/>
      <c r="W55" s="38">
        <v>3077</v>
      </c>
      <c r="X55" s="38">
        <v>313</v>
      </c>
      <c r="Y55" s="38"/>
      <c r="Z55" s="38"/>
      <c r="AA55" s="38">
        <v>4585</v>
      </c>
      <c r="AB55" s="38">
        <v>7109</v>
      </c>
      <c r="AC55" s="38">
        <v>250</v>
      </c>
      <c r="AD55" s="38">
        <v>3750</v>
      </c>
      <c r="AE55" s="38">
        <v>77</v>
      </c>
      <c r="AF55" s="38">
        <v>628</v>
      </c>
      <c r="AG55" s="38">
        <v>3230</v>
      </c>
      <c r="AH55" s="38">
        <v>0</v>
      </c>
      <c r="AI55" s="5">
        <f>SUM(C55:AH55)</f>
        <v>30602</v>
      </c>
      <c r="AJ55">
        <f>+AA55+R55+W55+AB55+AD55+T55</f>
        <v>20968.760000000002</v>
      </c>
      <c r="AK55" s="20">
        <f>+C55+H55+N55+Q55+S55+Y55+D55+AG55+X55+AE55</f>
        <v>6441</v>
      </c>
      <c r="AL55">
        <f>+B55+E55+P55+AC55+AH55+AF55+K55+L55+V55+U55+Z55+M55+J55+G55+F55+I55</f>
        <v>3192.24</v>
      </c>
      <c r="AM55">
        <f>+Q55+V55+Y55+AH55+N55+H55+E55</f>
        <v>2111</v>
      </c>
      <c r="AN55" s="20">
        <f>+B55+C55+J55+K55+L55+P55+R55+S55+W55+AA55+AB55+AC55+AD55+AF55+T55+D55+AG55+X55+M55+F55+AE55</f>
        <v>27727.760000000002</v>
      </c>
      <c r="AO55">
        <f>+Z55+U55+G55+I55</f>
        <v>763.24</v>
      </c>
      <c r="AP55">
        <f>+AJ55+AK55+AL55</f>
        <v>30602</v>
      </c>
      <c r="AQ55">
        <f>+AM55+AN55+AO55</f>
        <v>30602.000000000004</v>
      </c>
    </row>
    <row r="56" spans="1:43" x14ac:dyDescent="0.2">
      <c r="A56" t="s">
        <v>4</v>
      </c>
      <c r="B56" s="3">
        <v>0</v>
      </c>
      <c r="C56" s="3">
        <f>+C55/C54</f>
        <v>0.2</v>
      </c>
      <c r="D56" s="3"/>
      <c r="E56" s="3">
        <f>+E55/E54</f>
        <v>7.0773263433813891E-2</v>
      </c>
      <c r="F56" s="3">
        <f>+F55/F54</f>
        <v>0.504</v>
      </c>
      <c r="G56" s="3">
        <f>+G55/G54</f>
        <v>0.1380952380952381</v>
      </c>
      <c r="H56" s="3">
        <v>0</v>
      </c>
      <c r="I56" s="3">
        <f>+I55/I54</f>
        <v>0.15</v>
      </c>
      <c r="J56" s="3">
        <f>+J55/J54</f>
        <v>0.43999999999999995</v>
      </c>
      <c r="K56" s="3">
        <f>+K55/K54</f>
        <v>0.8236842105263158</v>
      </c>
      <c r="L56" s="3">
        <v>0</v>
      </c>
      <c r="M56" s="3">
        <v>0</v>
      </c>
      <c r="N56" s="3">
        <v>0</v>
      </c>
      <c r="O56" s="3"/>
      <c r="P56" s="3">
        <v>0</v>
      </c>
      <c r="Q56" s="3">
        <f>+Q55/Q54</f>
        <v>0.69965986394557822</v>
      </c>
      <c r="R56" s="3">
        <f>+R55/R54</f>
        <v>6.2E-2</v>
      </c>
      <c r="S56" s="3">
        <f>+S55/S54</f>
        <v>0.13393393393393394</v>
      </c>
      <c r="T56" s="3">
        <f>+T55/T54</f>
        <v>0.31</v>
      </c>
      <c r="U56" s="3">
        <f>+U55/U54</f>
        <v>0.34799999999999998</v>
      </c>
      <c r="V56" s="3">
        <v>0</v>
      </c>
      <c r="W56" s="3">
        <f>+W55/W54</f>
        <v>0.22104885057471266</v>
      </c>
      <c r="X56" s="3">
        <f>+X55/X54</f>
        <v>0.17988505747126438</v>
      </c>
      <c r="Y56" s="3">
        <v>0</v>
      </c>
      <c r="Z56" s="3">
        <v>0</v>
      </c>
      <c r="AA56" s="3">
        <f t="shared" ref="AA56:AG56" si="20">+AA55/AA54</f>
        <v>0.84907407407407409</v>
      </c>
      <c r="AB56" s="3">
        <f t="shared" si="20"/>
        <v>0.60296861747243424</v>
      </c>
      <c r="AC56" s="3">
        <f t="shared" si="20"/>
        <v>0.69444444444444442</v>
      </c>
      <c r="AD56" s="3">
        <f t="shared" si="20"/>
        <v>0.52521008403361347</v>
      </c>
      <c r="AE56" s="3">
        <f t="shared" si="20"/>
        <v>0.16041666666666668</v>
      </c>
      <c r="AF56" s="3">
        <f t="shared" si="20"/>
        <v>0.41045751633986927</v>
      </c>
      <c r="AG56" s="3">
        <f t="shared" si="20"/>
        <v>0.60486891385767794</v>
      </c>
      <c r="AH56" s="3">
        <v>0</v>
      </c>
      <c r="AI56" s="6">
        <f t="shared" ref="AI56:AO56" si="21">+AI55/AI54</f>
        <v>0.40140614137492292</v>
      </c>
      <c r="AJ56" s="3">
        <f t="shared" si="21"/>
        <v>0.39917685132305353</v>
      </c>
      <c r="AK56" s="3">
        <f>+AK55/AK54</f>
        <v>0.41770428015564204</v>
      </c>
      <c r="AL56" s="3">
        <f t="shared" si="21"/>
        <v>0.38521057077350063</v>
      </c>
      <c r="AM56" s="3">
        <f t="shared" si="21"/>
        <v>0.57007831487982719</v>
      </c>
      <c r="AN56" s="3">
        <f t="shared" si="21"/>
        <v>0.40049339919692639</v>
      </c>
      <c r="AO56" s="3">
        <f t="shared" si="21"/>
        <v>0.23128484848484848</v>
      </c>
    </row>
    <row r="57" spans="1:43" x14ac:dyDescent="0.2">
      <c r="A57" s="20"/>
      <c r="B57" s="20"/>
      <c r="C57" s="20">
        <v>1</v>
      </c>
      <c r="D57" s="20"/>
      <c r="E57" s="20">
        <v>1</v>
      </c>
      <c r="F57" s="20">
        <v>1</v>
      </c>
      <c r="G57" s="20">
        <v>1</v>
      </c>
      <c r="H57" s="20"/>
      <c r="I57" s="20">
        <v>1</v>
      </c>
      <c r="J57" s="20">
        <v>1</v>
      </c>
      <c r="K57" s="20">
        <v>1</v>
      </c>
      <c r="L57" s="20"/>
      <c r="M57" s="20"/>
      <c r="N57" s="20"/>
      <c r="O57" s="20"/>
      <c r="P57" s="20"/>
      <c r="Q57" s="20">
        <v>1</v>
      </c>
      <c r="R57" s="20">
        <v>1</v>
      </c>
      <c r="S57" s="20">
        <v>1</v>
      </c>
      <c r="T57" s="20">
        <v>1</v>
      </c>
      <c r="U57" s="20">
        <v>1</v>
      </c>
      <c r="V57" s="20"/>
      <c r="W57" s="20">
        <v>1</v>
      </c>
      <c r="X57" s="20">
        <v>1</v>
      </c>
      <c r="Y57" s="20"/>
      <c r="Z57" s="20"/>
      <c r="AA57" s="20">
        <v>1</v>
      </c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>
        <v>1</v>
      </c>
      <c r="AH57" s="20"/>
      <c r="AI57" s="19">
        <f>SUM(C57:AH57)</f>
        <v>21</v>
      </c>
      <c r="AJ57" s="20">
        <f>+AA57+R57+W57+AB57+AD57+T57</f>
        <v>6</v>
      </c>
      <c r="AK57" s="20">
        <f>+C57+H57+N57+Q57+S57+Y57+D57+AG57+X57+AE57</f>
        <v>6</v>
      </c>
      <c r="AL57" s="20">
        <f>+B57+E57+P57+AC57+AH57+AF57+K57+L57+V57+U57+Z57+M57+J57+G57+F57+I57</f>
        <v>9</v>
      </c>
      <c r="AM57" s="20">
        <f>+Q57+V57+Y57+AH57+N57+H57+E57</f>
        <v>2</v>
      </c>
      <c r="AN57" s="20">
        <f>+B57+C57+J57+K57+L57+P57+R57+S57+W57+AA57+AB57+AC57+AD57+AF57+T57+D57+AG57+X57+M57+F57+AE57</f>
        <v>16</v>
      </c>
      <c r="AO57" s="20">
        <f>+Z57+U57+G57+I57</f>
        <v>3</v>
      </c>
    </row>
    <row r="58" spans="1:43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19"/>
      <c r="AJ58" s="20"/>
      <c r="AK58" s="20"/>
      <c r="AL58" s="20"/>
      <c r="AM58" s="20"/>
      <c r="AN58" s="20"/>
      <c r="AO58" s="20"/>
    </row>
    <row r="59" spans="1:43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4"/>
      <c r="AC59" s="1"/>
      <c r="AD59" s="1"/>
      <c r="AE59" s="1"/>
      <c r="AI59" s="5"/>
    </row>
    <row r="60" spans="1:43" x14ac:dyDescent="0.2">
      <c r="A60" t="s">
        <v>1</v>
      </c>
      <c r="B60" s="38"/>
      <c r="C60" s="38">
        <v>1643</v>
      </c>
      <c r="D60" s="38"/>
      <c r="E60" s="38">
        <v>3379</v>
      </c>
      <c r="F60" s="38">
        <v>527</v>
      </c>
      <c r="G60" s="38">
        <v>434</v>
      </c>
      <c r="H60" s="38">
        <f>2460/30*22</f>
        <v>1804</v>
      </c>
      <c r="I60" s="38">
        <v>1550</v>
      </c>
      <c r="J60" s="38">
        <v>1767</v>
      </c>
      <c r="K60" s="38">
        <v>1178</v>
      </c>
      <c r="L60" s="38">
        <v>775</v>
      </c>
      <c r="M60" s="38"/>
      <c r="N60" s="38">
        <v>149</v>
      </c>
      <c r="O60" s="38"/>
      <c r="P60" s="38">
        <v>0</v>
      </c>
      <c r="Q60" s="38">
        <v>3038</v>
      </c>
      <c r="R60" s="38">
        <v>8246</v>
      </c>
      <c r="S60" s="38">
        <v>3441</v>
      </c>
      <c r="T60" s="38">
        <v>6510</v>
      </c>
      <c r="U60" s="38">
        <v>1426</v>
      </c>
      <c r="V60" s="38">
        <f>775/31*22</f>
        <v>550</v>
      </c>
      <c r="W60" s="38">
        <v>14384</v>
      </c>
      <c r="X60" s="38">
        <v>1798</v>
      </c>
      <c r="Y60" s="38">
        <v>1040</v>
      </c>
      <c r="Z60" s="38"/>
      <c r="AA60" s="38">
        <v>5580</v>
      </c>
      <c r="AB60" s="38">
        <v>12183</v>
      </c>
      <c r="AC60" s="38">
        <v>372</v>
      </c>
      <c r="AD60" s="38">
        <v>7378</v>
      </c>
      <c r="AE60" s="38">
        <f>1860/31*25</f>
        <v>1500</v>
      </c>
      <c r="AF60" s="38">
        <v>1577</v>
      </c>
      <c r="AG60" s="38">
        <v>5518</v>
      </c>
      <c r="AH60" s="38"/>
      <c r="AI60" s="5">
        <f>SUM(C60:AH60)</f>
        <v>87747</v>
      </c>
      <c r="AJ60">
        <f>+AA60+R60+W60+AB60+AD60+T60</f>
        <v>54281</v>
      </c>
      <c r="AK60" s="20">
        <f>+C60+H60+N60+Q60+S60+Y60+D60+AG60+X60+AE60</f>
        <v>19931</v>
      </c>
      <c r="AL60">
        <f>+B60+E60+P60+AC60+AH60+AF60+K60+L60+V60+U60+Z60+M60+J60+G60+F60+I60</f>
        <v>13535</v>
      </c>
      <c r="AM60">
        <f>+Q60+V60+Y60+AH60+N60+H60+E60</f>
        <v>9960</v>
      </c>
      <c r="AN60" s="20">
        <f>+B60+C60+J60+K60+L60+P60+R60+S60+W60+AA60+AB60+AC60+AD60+AF60+T60+D60+AG60+X60+M60+F60+AE60</f>
        <v>74377</v>
      </c>
      <c r="AO60">
        <f>+Z60+U60+G60+I60</f>
        <v>3410</v>
      </c>
      <c r="AP60">
        <f>+AJ60+AK60+AL60</f>
        <v>87747</v>
      </c>
    </row>
    <row r="61" spans="1:43" x14ac:dyDescent="0.2">
      <c r="A61" t="s">
        <v>2</v>
      </c>
      <c r="B61" s="38"/>
      <c r="C61" s="38">
        <f>+C60*0.21</f>
        <v>345.03</v>
      </c>
      <c r="D61" s="38"/>
      <c r="E61" s="38">
        <f>+E60*0.44</f>
        <v>1486.76</v>
      </c>
      <c r="F61" s="38">
        <v>355</v>
      </c>
      <c r="G61" s="38">
        <f>+G60*0.084</f>
        <v>36.456000000000003</v>
      </c>
      <c r="H61" s="38">
        <f>+H60*0.596</f>
        <v>1075.184</v>
      </c>
      <c r="I61" s="38">
        <v>325</v>
      </c>
      <c r="J61" s="38">
        <f>+J60*0.72</f>
        <v>1272.24</v>
      </c>
      <c r="K61" s="38">
        <v>987</v>
      </c>
      <c r="L61" s="38">
        <v>690</v>
      </c>
      <c r="M61" s="38"/>
      <c r="N61" s="38">
        <v>79</v>
      </c>
      <c r="O61" s="38"/>
      <c r="P61" s="38">
        <v>0</v>
      </c>
      <c r="Q61" s="38">
        <v>2748</v>
      </c>
      <c r="R61" s="38">
        <f>+R60*0.225</f>
        <v>1855.3500000000001</v>
      </c>
      <c r="S61" s="38">
        <v>867</v>
      </c>
      <c r="T61" s="38">
        <f>+T60*0.372</f>
        <v>2421.7199999999998</v>
      </c>
      <c r="U61" s="38">
        <f>+U60*0.432</f>
        <v>616.03200000000004</v>
      </c>
      <c r="V61" s="38">
        <f>+V60*0.69</f>
        <v>379.49999999999994</v>
      </c>
      <c r="W61" s="38">
        <v>4366</v>
      </c>
      <c r="X61" s="38">
        <v>450</v>
      </c>
      <c r="Y61" s="38">
        <v>514</v>
      </c>
      <c r="Z61" s="38"/>
      <c r="AA61" s="38">
        <v>4932</v>
      </c>
      <c r="AB61" s="38">
        <v>9539</v>
      </c>
      <c r="AC61" s="38">
        <v>246</v>
      </c>
      <c r="AD61" s="38">
        <v>5451</v>
      </c>
      <c r="AE61" s="38">
        <v>677</v>
      </c>
      <c r="AF61" s="38">
        <v>791</v>
      </c>
      <c r="AG61" s="38">
        <v>4036</v>
      </c>
      <c r="AH61" s="38"/>
      <c r="AI61" s="5">
        <f>SUM(C61:AH61)</f>
        <v>46541.271999999997</v>
      </c>
      <c r="AJ61">
        <f>+AA61+R61+W61+AB61+AD61+T61</f>
        <v>28565.07</v>
      </c>
      <c r="AK61" s="20">
        <f>+C61+H61+N61+Q61+S61+Y61+D61+AG61+X61+AE61</f>
        <v>10791.214</v>
      </c>
      <c r="AL61">
        <f>+B61+E61+P61+AC61+AH61+AF61+K61+L61+V61+U61+Z61+M61+J61+G61+F61+I61</f>
        <v>7184.9880000000003</v>
      </c>
      <c r="AM61">
        <f>+Q61+V61+Y61+AH61+N61+H61+E61</f>
        <v>6282.4440000000004</v>
      </c>
      <c r="AN61" s="20">
        <f>+B61+C61+J61+K61+L61+P61+R61+S61+W61+AA61+AB61+AC61+AD61+AF61+T61+D61+AG61+X61+M61+F61+AE61</f>
        <v>39281.339999999997</v>
      </c>
      <c r="AO61">
        <f>+Z61+U61+G61+I61</f>
        <v>977.48800000000006</v>
      </c>
      <c r="AP61">
        <f>+AJ61+AK61+AL61</f>
        <v>46541.271999999997</v>
      </c>
    </row>
    <row r="62" spans="1:43" x14ac:dyDescent="0.2">
      <c r="A62" t="s">
        <v>4</v>
      </c>
      <c r="B62" s="3">
        <v>0</v>
      </c>
      <c r="C62" s="3">
        <f>+C61/C60</f>
        <v>0.21</v>
      </c>
      <c r="D62" s="3"/>
      <c r="E62" s="3">
        <f t="shared" ref="E62:L62" si="22">+E61/E60</f>
        <v>0.44</v>
      </c>
      <c r="F62" s="3">
        <f t="shared" si="22"/>
        <v>0.6736242884250474</v>
      </c>
      <c r="G62" s="3">
        <f t="shared" si="22"/>
        <v>8.4000000000000005E-2</v>
      </c>
      <c r="H62" s="3">
        <f t="shared" si="22"/>
        <v>0.59599999999999997</v>
      </c>
      <c r="I62" s="3">
        <f t="shared" si="22"/>
        <v>0.20967741935483872</v>
      </c>
      <c r="J62" s="3">
        <f t="shared" si="22"/>
        <v>0.72</v>
      </c>
      <c r="K62" s="3">
        <f t="shared" si="22"/>
        <v>0.83786078098471983</v>
      </c>
      <c r="L62" s="3">
        <f t="shared" si="22"/>
        <v>0.89032258064516134</v>
      </c>
      <c r="M62" s="3">
        <v>0</v>
      </c>
      <c r="N62" s="3">
        <f>+N61/N60</f>
        <v>0.53020134228187921</v>
      </c>
      <c r="O62" s="3"/>
      <c r="P62" s="3">
        <v>0</v>
      </c>
      <c r="Q62" s="3">
        <f t="shared" ref="Q62:Y62" si="23">+Q61/Q60</f>
        <v>0.90454246214614875</v>
      </c>
      <c r="R62" s="3">
        <f t="shared" si="23"/>
        <v>0.22500000000000001</v>
      </c>
      <c r="S62" s="3">
        <f t="shared" si="23"/>
        <v>0.25196163905841323</v>
      </c>
      <c r="T62" s="3">
        <f t="shared" si="23"/>
        <v>0.37199999999999994</v>
      </c>
      <c r="U62" s="3">
        <f t="shared" si="23"/>
        <v>0.43200000000000005</v>
      </c>
      <c r="V62" s="3">
        <f t="shared" si="23"/>
        <v>0.69</v>
      </c>
      <c r="W62" s="3">
        <f t="shared" si="23"/>
        <v>0.30353170189098999</v>
      </c>
      <c r="X62" s="3">
        <f t="shared" si="23"/>
        <v>0.25027808676307006</v>
      </c>
      <c r="Y62" s="3">
        <f t="shared" si="23"/>
        <v>0.49423076923076925</v>
      </c>
      <c r="Z62" s="3">
        <v>0</v>
      </c>
      <c r="AA62" s="3">
        <f t="shared" ref="AA62:AG62" si="24">+AA61/AA60</f>
        <v>0.88387096774193552</v>
      </c>
      <c r="AB62" s="3">
        <f t="shared" si="24"/>
        <v>0.78297627842075024</v>
      </c>
      <c r="AC62" s="3">
        <f t="shared" si="24"/>
        <v>0.66129032258064513</v>
      </c>
      <c r="AD62" s="3">
        <f t="shared" si="24"/>
        <v>0.73881810788831659</v>
      </c>
      <c r="AE62" s="3">
        <f t="shared" si="24"/>
        <v>0.45133333333333331</v>
      </c>
      <c r="AF62" s="3">
        <f t="shared" si="24"/>
        <v>0.50158528852251105</v>
      </c>
      <c r="AG62" s="3">
        <f t="shared" si="24"/>
        <v>0.73142442914099315</v>
      </c>
      <c r="AH62" s="3">
        <v>0</v>
      </c>
      <c r="AI62" s="6">
        <f t="shared" ref="AI62:AO62" si="25">+AI61/AI60</f>
        <v>0.5304029995327475</v>
      </c>
      <c r="AJ62" s="3">
        <f t="shared" si="25"/>
        <v>0.52624435806267389</v>
      </c>
      <c r="AK62" s="3">
        <f t="shared" si="25"/>
        <v>0.54142862876925391</v>
      </c>
      <c r="AL62" s="3">
        <f t="shared" si="25"/>
        <v>0.53084506834133727</v>
      </c>
      <c r="AM62" s="3">
        <f t="shared" si="25"/>
        <v>0.63076746987951815</v>
      </c>
      <c r="AN62" s="3">
        <f t="shared" si="25"/>
        <v>0.52813826855076162</v>
      </c>
      <c r="AO62" s="3">
        <f t="shared" si="25"/>
        <v>0.28665337243401762</v>
      </c>
    </row>
    <row r="63" spans="1:43" x14ac:dyDescent="0.2">
      <c r="A63" s="20"/>
      <c r="B63" s="20"/>
      <c r="C63" s="20">
        <v>1</v>
      </c>
      <c r="D63" s="20"/>
      <c r="E63" s="20">
        <v>1</v>
      </c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>
        <v>1</v>
      </c>
      <c r="L63" s="20">
        <v>1</v>
      </c>
      <c r="M63" s="20"/>
      <c r="N63" s="20">
        <v>1</v>
      </c>
      <c r="O63" s="20"/>
      <c r="P63" s="20"/>
      <c r="Q63" s="20">
        <v>1</v>
      </c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/>
      <c r="AA63" s="20">
        <v>1</v>
      </c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/>
      <c r="AI63" s="19">
        <f>SUM(C63:AH63)</f>
        <v>26</v>
      </c>
      <c r="AJ63" s="20">
        <f>+AA63+R63+W63+AB63+AD63+T63</f>
        <v>6</v>
      </c>
      <c r="AK63" s="20">
        <f>+C63+H63+N63+Q63+S63+Y63+D63+AG63+X63+AE63</f>
        <v>9</v>
      </c>
      <c r="AL63" s="20">
        <f>+B63+E63+P63+AC63+AH63+AF63+K63+L63+V63+U63+Z63+M63+J63+G63+F63+I63</f>
        <v>11</v>
      </c>
      <c r="AM63" s="20">
        <f>+Q63+V63+Y63+AH63+N63+H63+E63</f>
        <v>6</v>
      </c>
      <c r="AN63" s="20">
        <f>+B63+C63+J63+K63+L63+P63+R63+S63+W63+AA63+AB63+AC63+AD63+AF63+T63+D63+AG63+X63+M63+F63+AE63</f>
        <v>17</v>
      </c>
      <c r="AO63" s="20">
        <f>+Z63+U63+G63+I63</f>
        <v>3</v>
      </c>
    </row>
    <row r="64" spans="1:43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19"/>
      <c r="AJ64" s="20"/>
      <c r="AK64" s="20"/>
      <c r="AL64" s="20"/>
      <c r="AM64" s="20"/>
      <c r="AN64" s="20"/>
      <c r="AO64" s="20"/>
    </row>
    <row r="65" spans="1:42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  <c r="AE65" s="1"/>
      <c r="AI65" s="5"/>
    </row>
    <row r="66" spans="1:42" x14ac:dyDescent="0.2">
      <c r="A66" t="s">
        <v>1</v>
      </c>
      <c r="B66" s="38">
        <v>540</v>
      </c>
      <c r="C66" s="38">
        <v>1590</v>
      </c>
      <c r="D66" s="38"/>
      <c r="E66" s="38">
        <f>3379/31*30</f>
        <v>3270</v>
      </c>
      <c r="F66" s="38">
        <v>510</v>
      </c>
      <c r="G66" s="38">
        <v>420</v>
      </c>
      <c r="H66" s="38">
        <v>2460</v>
      </c>
      <c r="I66" s="38"/>
      <c r="J66" s="38">
        <v>1710</v>
      </c>
      <c r="K66" s="38">
        <v>1140</v>
      </c>
      <c r="L66" s="38">
        <v>750</v>
      </c>
      <c r="M66" s="38">
        <v>420</v>
      </c>
      <c r="N66" s="38">
        <v>2160</v>
      </c>
      <c r="O66" s="38">
        <v>390</v>
      </c>
      <c r="P66" s="38">
        <v>630</v>
      </c>
      <c r="Q66" s="38">
        <v>2940</v>
      </c>
      <c r="R66" s="38">
        <v>7980</v>
      </c>
      <c r="S66" s="38">
        <v>3330</v>
      </c>
      <c r="T66" s="38">
        <v>6300</v>
      </c>
      <c r="U66" s="38">
        <v>1380</v>
      </c>
      <c r="V66" s="38">
        <v>750</v>
      </c>
      <c r="W66" s="38">
        <v>13920</v>
      </c>
      <c r="X66" s="38">
        <v>1740</v>
      </c>
      <c r="Y66" s="38">
        <v>1040</v>
      </c>
      <c r="Z66" s="38"/>
      <c r="AA66" s="38">
        <v>5400</v>
      </c>
      <c r="AB66" s="38">
        <v>11790</v>
      </c>
      <c r="AC66" s="38">
        <v>360</v>
      </c>
      <c r="AD66" s="38">
        <v>7104</v>
      </c>
      <c r="AE66" s="38">
        <v>1809</v>
      </c>
      <c r="AF66" s="38">
        <v>1470</v>
      </c>
      <c r="AG66" s="38">
        <v>5340</v>
      </c>
      <c r="AH66" s="38">
        <v>1020</v>
      </c>
      <c r="AI66" s="5">
        <f>SUM(C66:AH66)</f>
        <v>89123</v>
      </c>
      <c r="AJ66">
        <f>+AA66+R66+W66+AB66+AD66+T66</f>
        <v>52494</v>
      </c>
      <c r="AK66" s="20">
        <f>+C66+H66+N66+Q66+S66+Y66+D66+AG66+X66+AE66</f>
        <v>22409</v>
      </c>
      <c r="AL66">
        <f>+B66+E66+P66+AC66+AH66+AF66+K66+L66+V66+U66+Z66+M66+J66+G66+F66+I66+O66</f>
        <v>14760</v>
      </c>
      <c r="AM66">
        <f>+Q66+V66+Y66+AH66+N66+H66+E66</f>
        <v>13640</v>
      </c>
      <c r="AN66" s="20">
        <f>+B66+C66+J66+K66+L66+P66+R66+S66+W66+AA66+AB66+AC66+AD66+AF66+T66+D66+AG66+X66+M66+F66+AE66</f>
        <v>73833</v>
      </c>
      <c r="AO66">
        <f>+Z66+U66+G66+I66+O66</f>
        <v>2190</v>
      </c>
      <c r="AP66">
        <f>+AJ66+AK66+AL66</f>
        <v>89663</v>
      </c>
    </row>
    <row r="67" spans="1:42" x14ac:dyDescent="0.2">
      <c r="A67" t="s">
        <v>2</v>
      </c>
      <c r="B67" s="38">
        <v>75</v>
      </c>
      <c r="C67" s="38">
        <v>493</v>
      </c>
      <c r="D67" s="38"/>
      <c r="E67" s="38">
        <f>+E66*0.68</f>
        <v>2223.6000000000004</v>
      </c>
      <c r="F67" s="38">
        <v>444</v>
      </c>
      <c r="G67" s="38">
        <v>132</v>
      </c>
      <c r="H67" s="38">
        <v>1636</v>
      </c>
      <c r="I67" s="38"/>
      <c r="J67" s="38">
        <f>+J66*0.84</f>
        <v>1436.3999999999999</v>
      </c>
      <c r="K67" s="38">
        <v>1061</v>
      </c>
      <c r="L67" s="38">
        <f>+L66*0.82</f>
        <v>615</v>
      </c>
      <c r="M67" s="38">
        <v>32</v>
      </c>
      <c r="N67" s="38">
        <v>1212</v>
      </c>
      <c r="O67" s="38">
        <v>187</v>
      </c>
      <c r="P67" s="38">
        <v>101</v>
      </c>
      <c r="Q67" s="38">
        <v>2656</v>
      </c>
      <c r="R67" s="38">
        <v>662</v>
      </c>
      <c r="S67" s="38">
        <f>+S66*0.49</f>
        <v>1631.7</v>
      </c>
      <c r="T67" s="38">
        <f>+T66*0.544</f>
        <v>3427.2000000000003</v>
      </c>
      <c r="U67" s="38">
        <v>739</v>
      </c>
      <c r="V67" s="38">
        <f>+V66*0.87</f>
        <v>652.5</v>
      </c>
      <c r="W67" s="38">
        <v>5438</v>
      </c>
      <c r="X67" s="38">
        <v>748</v>
      </c>
      <c r="Y67" s="38">
        <v>866</v>
      </c>
      <c r="Z67" s="38"/>
      <c r="AA67" s="38">
        <v>4869</v>
      </c>
      <c r="AB67" s="38">
        <v>10342</v>
      </c>
      <c r="AC67" s="38">
        <v>289</v>
      </c>
      <c r="AD67" s="38">
        <v>6306</v>
      </c>
      <c r="AE67" s="38">
        <f>+AE66*0.531</f>
        <v>960.57900000000006</v>
      </c>
      <c r="AF67" s="38">
        <v>788</v>
      </c>
      <c r="AG67" s="38">
        <v>4917</v>
      </c>
      <c r="AH67" s="38">
        <v>465</v>
      </c>
      <c r="AI67" s="5">
        <f>SUM(C67:AH67)</f>
        <v>55329.978999999999</v>
      </c>
      <c r="AJ67">
        <f>+AA67+R67+W67+AB67+AD67+T67</f>
        <v>31044.2</v>
      </c>
      <c r="AK67" s="20">
        <f>+C67+H67+N67+Q67+S67+Y67+D67+AG67+X67+AE67</f>
        <v>15120.279</v>
      </c>
      <c r="AL67">
        <f>+B67+E67+P67+AC67+AH67+AF67+K67+L67+V67+U67+Z67+M67+J67+G67+F67+I67+O67</f>
        <v>9240.5</v>
      </c>
      <c r="AM67">
        <f>+Q67+V67+Y67+AH67+N67+H67+E67</f>
        <v>9711.1</v>
      </c>
      <c r="AN67" s="20">
        <f>+B67+C67+J67+K67+L67+P67+R67+S67+W67+AA67+AB67+AC67+AD67+AF67+T67+D67+AG67+X67+M67+F67+AE67</f>
        <v>44635.878999999994</v>
      </c>
      <c r="AO67">
        <f>+Z67+U67+G67+I67+O67</f>
        <v>1058</v>
      </c>
      <c r="AP67">
        <f>+AJ67+AK67+AL67</f>
        <v>55404.978999999999</v>
      </c>
    </row>
    <row r="68" spans="1:42" x14ac:dyDescent="0.2">
      <c r="A68" t="s">
        <v>4</v>
      </c>
      <c r="B68" s="3">
        <f>+B67/B66</f>
        <v>0.1388888888888889</v>
      </c>
      <c r="C68" s="3">
        <f>+C67/C66</f>
        <v>0.31006289308176099</v>
      </c>
      <c r="D68" s="3"/>
      <c r="E68" s="3">
        <f t="shared" ref="E68:Y68" si="26">+E67/E66</f>
        <v>0.68000000000000016</v>
      </c>
      <c r="F68" s="3">
        <f t="shared" si="26"/>
        <v>0.87058823529411766</v>
      </c>
      <c r="G68" s="3">
        <f t="shared" si="26"/>
        <v>0.31428571428571428</v>
      </c>
      <c r="H68" s="3">
        <f t="shared" si="26"/>
        <v>0.66504065040650406</v>
      </c>
      <c r="I68" s="3"/>
      <c r="J68" s="3">
        <f t="shared" si="26"/>
        <v>0.84</v>
      </c>
      <c r="K68" s="3">
        <f t="shared" si="26"/>
        <v>0.93070175438596492</v>
      </c>
      <c r="L68" s="3">
        <f t="shared" si="26"/>
        <v>0.82</v>
      </c>
      <c r="M68" s="3">
        <f t="shared" si="26"/>
        <v>7.6190476190476197E-2</v>
      </c>
      <c r="N68" s="3">
        <f t="shared" si="26"/>
        <v>0.56111111111111112</v>
      </c>
      <c r="O68" s="3">
        <f t="shared" si="26"/>
        <v>0.4794871794871795</v>
      </c>
      <c r="P68" s="3">
        <f t="shared" si="26"/>
        <v>0.16031746031746033</v>
      </c>
      <c r="Q68" s="3">
        <f t="shared" si="26"/>
        <v>0.90340136054421771</v>
      </c>
      <c r="R68" s="3">
        <f t="shared" si="26"/>
        <v>8.2957393483709271E-2</v>
      </c>
      <c r="S68" s="3">
        <f t="shared" si="26"/>
        <v>0.49</v>
      </c>
      <c r="T68" s="3">
        <f t="shared" si="26"/>
        <v>0.54400000000000004</v>
      </c>
      <c r="U68" s="3">
        <f t="shared" si="26"/>
        <v>0.53550724637681157</v>
      </c>
      <c r="V68" s="3">
        <f t="shared" si="26"/>
        <v>0.87</v>
      </c>
      <c r="W68" s="3">
        <f t="shared" si="26"/>
        <v>0.39066091954022991</v>
      </c>
      <c r="X68" s="3">
        <f t="shared" si="26"/>
        <v>0.42988505747126438</v>
      </c>
      <c r="Y68" s="3">
        <f t="shared" si="26"/>
        <v>0.83269230769230773</v>
      </c>
      <c r="Z68" s="3">
        <v>0</v>
      </c>
      <c r="AA68" s="3">
        <f>+AA67/AA66</f>
        <v>0.90166666666666662</v>
      </c>
      <c r="AB68" s="3">
        <f>+AB67/AB66</f>
        <v>0.87718405428329094</v>
      </c>
      <c r="AC68" s="3">
        <f>+AC67/AC66</f>
        <v>0.80277777777777781</v>
      </c>
      <c r="AD68" s="3">
        <f>+AD67/AD66</f>
        <v>0.88766891891891897</v>
      </c>
      <c r="AE68" s="3">
        <f>+AE67/AE66</f>
        <v>0.53100000000000003</v>
      </c>
      <c r="AF68" s="3">
        <f t="shared" ref="AF68:AO68" si="27">+AF67/AF66</f>
        <v>0.53605442176870743</v>
      </c>
      <c r="AG68" s="3">
        <f t="shared" si="27"/>
        <v>0.92078651685393254</v>
      </c>
      <c r="AH68" s="3">
        <f t="shared" si="27"/>
        <v>0.45588235294117646</v>
      </c>
      <c r="AI68" s="6">
        <f t="shared" si="27"/>
        <v>0.62082716021677908</v>
      </c>
      <c r="AJ68" s="3">
        <f t="shared" si="27"/>
        <v>0.59138568217320076</v>
      </c>
      <c r="AK68" s="3">
        <f t="shared" si="27"/>
        <v>0.67474135392029988</v>
      </c>
      <c r="AL68" s="3">
        <f t="shared" si="27"/>
        <v>0.62605013550135502</v>
      </c>
      <c r="AM68" s="3">
        <f t="shared" si="27"/>
        <v>0.71195747800586517</v>
      </c>
      <c r="AN68" s="3">
        <f t="shared" si="27"/>
        <v>0.60455188059539766</v>
      </c>
      <c r="AO68" s="3">
        <f t="shared" si="27"/>
        <v>0.48310502283105022</v>
      </c>
    </row>
    <row r="69" spans="1:42" x14ac:dyDescent="0.2">
      <c r="A69" s="20"/>
      <c r="B69" s="39">
        <v>1</v>
      </c>
      <c r="C69" s="39">
        <v>1</v>
      </c>
      <c r="D69" s="39"/>
      <c r="E69" s="39">
        <v>1</v>
      </c>
      <c r="F69" s="39">
        <v>1</v>
      </c>
      <c r="G69" s="39">
        <v>1</v>
      </c>
      <c r="H69" s="39">
        <v>1</v>
      </c>
      <c r="I69" s="39"/>
      <c r="J69" s="39">
        <v>1</v>
      </c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/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>
        <v>1</v>
      </c>
      <c r="AH69" s="39">
        <v>1</v>
      </c>
      <c r="AI69" s="19">
        <f>SUM(C69:AH69)</f>
        <v>29</v>
      </c>
      <c r="AJ69" s="20">
        <f>+AA69+R69+W69+AB69+AD69+T69</f>
        <v>6</v>
      </c>
      <c r="AK69" s="20">
        <f>+C69+H69+N69+Q69+S69+Y69+D69+AG69+X69+AE69</f>
        <v>9</v>
      </c>
      <c r="AL69" s="20">
        <f>+B69+E69+P69+AC69+AH69+AF69+K69+L69+V69+U69+Z69+M69+J69+G69+F69+I69</f>
        <v>14</v>
      </c>
      <c r="AM69" s="20">
        <f>+Q69+V69+Y69+AH69+N69+H69+E69</f>
        <v>7</v>
      </c>
      <c r="AN69" s="20">
        <f>+B69+C69+J69+K69+L69+P69+R69+S69+W69+AA69+AB69+AC69+AD69+AF69+T69+D69+AG69+X69+M69+F69+AE69</f>
        <v>20</v>
      </c>
      <c r="AO69" s="20">
        <f>+Z69+U69+G69+I69</f>
        <v>2</v>
      </c>
    </row>
    <row r="70" spans="1:42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3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19"/>
      <c r="AJ70" s="20"/>
      <c r="AK70" s="20"/>
      <c r="AL70" s="20"/>
      <c r="AM70" s="20"/>
      <c r="AN70" s="20"/>
      <c r="AO70" s="20"/>
    </row>
    <row r="71" spans="1:42" x14ac:dyDescent="0.2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5"/>
    </row>
    <row r="72" spans="1:42" x14ac:dyDescent="0.2">
      <c r="A72" t="s">
        <v>1</v>
      </c>
      <c r="B72" s="38">
        <v>558</v>
      </c>
      <c r="C72" s="38">
        <v>1643</v>
      </c>
      <c r="D72" s="38"/>
      <c r="E72" s="38">
        <v>3379</v>
      </c>
      <c r="F72" s="38">
        <v>527</v>
      </c>
      <c r="G72" s="38">
        <v>434</v>
      </c>
      <c r="H72" s="38">
        <f>2460/30*31</f>
        <v>2542</v>
      </c>
      <c r="I72" s="38"/>
      <c r="J72" s="38">
        <v>1767</v>
      </c>
      <c r="K72" s="38">
        <v>1178</v>
      </c>
      <c r="L72" s="38">
        <v>775</v>
      </c>
      <c r="M72" s="38">
        <f>420/30*31</f>
        <v>434</v>
      </c>
      <c r="N72" s="38">
        <f>2160/30*31</f>
        <v>2232</v>
      </c>
      <c r="O72" s="38">
        <f>31*13</f>
        <v>403</v>
      </c>
      <c r="P72" s="38">
        <v>744</v>
      </c>
      <c r="Q72" s="38">
        <v>3038</v>
      </c>
      <c r="R72" s="42">
        <v>8246</v>
      </c>
      <c r="S72" s="38">
        <v>3441</v>
      </c>
      <c r="T72" s="38">
        <v>6510</v>
      </c>
      <c r="U72" s="38">
        <v>1426</v>
      </c>
      <c r="V72" s="38">
        <f>750/30*31</f>
        <v>775</v>
      </c>
      <c r="W72" s="38">
        <v>14384</v>
      </c>
      <c r="X72" s="38">
        <v>1798</v>
      </c>
      <c r="Y72" s="38">
        <f>1040/30*31</f>
        <v>1074.6666666666665</v>
      </c>
      <c r="Z72" s="38"/>
      <c r="AA72" s="38">
        <v>5580</v>
      </c>
      <c r="AB72" s="38">
        <v>12183</v>
      </c>
      <c r="AC72" s="38">
        <v>372</v>
      </c>
      <c r="AD72" s="38">
        <v>7409</v>
      </c>
      <c r="AE72" s="38">
        <f>1809/30*31</f>
        <v>1869.3</v>
      </c>
      <c r="AF72" s="38">
        <v>1488</v>
      </c>
      <c r="AG72" s="38">
        <v>5549</v>
      </c>
      <c r="AH72" s="38">
        <f>1020/30*31</f>
        <v>1054</v>
      </c>
      <c r="AI72" s="19">
        <f>SUM(B72:AH72)</f>
        <v>92812.96666666666</v>
      </c>
      <c r="AJ72">
        <f>+AA72+R72+W72+AB72+AD72+T72</f>
        <v>54312</v>
      </c>
      <c r="AK72" s="20">
        <f>+C72+H72+N72+Q72+S72+Y72+D72+AG72+X72+AE72</f>
        <v>23186.966666666664</v>
      </c>
      <c r="AL72">
        <f>+B72+E72+P72+AC72+AH72+AF72+K72+L72+V72+U72+Z72+M72+J72+G72+F72+I72+O72</f>
        <v>15314</v>
      </c>
      <c r="AM72">
        <f>+Q72+V72+Y72+AH72+N72+H72+E72</f>
        <v>14094.666666666666</v>
      </c>
      <c r="AN72" s="20">
        <f>+B72+C72+J72+K72+L72+P72+R72+S72+W72+AA72+AB72+AC72+AD72+AF72+T72+D72+AG72+X72+M72+F72+AE72</f>
        <v>76455.3</v>
      </c>
      <c r="AO72">
        <f>+Z72+U72+G72+I72+O72</f>
        <v>2263</v>
      </c>
      <c r="AP72">
        <f>+AJ72+AK72+AL72</f>
        <v>92812.96666666666</v>
      </c>
    </row>
    <row r="73" spans="1:42" x14ac:dyDescent="0.2">
      <c r="A73" t="s">
        <v>2</v>
      </c>
      <c r="B73" s="38">
        <v>318</v>
      </c>
      <c r="C73" s="38">
        <f>+C72*0.29</f>
        <v>476.46999999999997</v>
      </c>
      <c r="D73" s="38"/>
      <c r="E73" s="38">
        <f>+E72*0.64</f>
        <v>2162.56</v>
      </c>
      <c r="F73" s="38">
        <v>406</v>
      </c>
      <c r="G73" s="38">
        <v>178</v>
      </c>
      <c r="H73" s="38">
        <v>1904</v>
      </c>
      <c r="I73" s="38"/>
      <c r="J73" s="38">
        <f>+J72*0.79</f>
        <v>1395.93</v>
      </c>
      <c r="K73" s="38">
        <v>844</v>
      </c>
      <c r="L73" s="38">
        <f>+L72*0.8</f>
        <v>620</v>
      </c>
      <c r="M73" s="38">
        <v>190</v>
      </c>
      <c r="N73" s="38">
        <f>+N72*0.57</f>
        <v>1272.2399999999998</v>
      </c>
      <c r="O73" s="38">
        <v>176</v>
      </c>
      <c r="P73" s="38">
        <v>282</v>
      </c>
      <c r="Q73" s="38">
        <v>2495</v>
      </c>
      <c r="R73" s="42">
        <f>+R72*0.156</f>
        <v>1286.376</v>
      </c>
      <c r="S73" s="38">
        <f>+S72*0.428</f>
        <v>1472.748</v>
      </c>
      <c r="T73" s="38">
        <f>+T72*0.442</f>
        <v>2877.42</v>
      </c>
      <c r="U73" s="38">
        <v>371</v>
      </c>
      <c r="V73" s="38">
        <f>+V72*0.78</f>
        <v>604.5</v>
      </c>
      <c r="W73" s="38">
        <v>5228</v>
      </c>
      <c r="X73" s="38">
        <v>971</v>
      </c>
      <c r="Y73" s="38">
        <f>+Y72*0.637</f>
        <v>684.56266666666659</v>
      </c>
      <c r="Z73" s="38"/>
      <c r="AA73" s="38">
        <v>4224</v>
      </c>
      <c r="AB73" s="38">
        <v>8955</v>
      </c>
      <c r="AC73" s="38">
        <v>299</v>
      </c>
      <c r="AD73" s="38">
        <v>5660</v>
      </c>
      <c r="AE73" s="38">
        <f>+AE72*0.672</f>
        <v>1256.1695999999999</v>
      </c>
      <c r="AF73" s="38">
        <v>682</v>
      </c>
      <c r="AG73" s="38">
        <v>4461</v>
      </c>
      <c r="AH73" s="38">
        <f>+AH72*0.5968</f>
        <v>629.02719999999999</v>
      </c>
      <c r="AI73" s="19">
        <f>SUM(B73:AH73)</f>
        <v>52382.003466666662</v>
      </c>
      <c r="AJ73">
        <f>+AA73+R73+W73+AB73+AD73+T73</f>
        <v>28230.796000000002</v>
      </c>
      <c r="AK73" s="20">
        <f>+C73+H73+N73+Q73+S73+Y73+D73+AG73+X73+AE73</f>
        <v>14993.190266666665</v>
      </c>
      <c r="AL73">
        <f>+B73+E73+P73+AC73+AH73+AF73+K73+L73+V73+U73+Z73+M73+J73+G73+F73+I73+O73</f>
        <v>9158.0172000000002</v>
      </c>
      <c r="AM73">
        <f>+Q73+V73+Y73+AH73+N73+H73+E73</f>
        <v>9751.8898666666664</v>
      </c>
      <c r="AN73" s="20">
        <f>+B73+C73+J73+K73+L73+P73+R73+S73+W73+AA73+AB73+AC73+AD73+AF73+T73+D73+AG73+X73+M73+F73+AE73</f>
        <v>41905.113599999997</v>
      </c>
      <c r="AO73">
        <f>+Z73+U73+G73+I73+O73</f>
        <v>725</v>
      </c>
      <c r="AP73">
        <f>+AJ73+AK73+AL73</f>
        <v>52382.003466666669</v>
      </c>
    </row>
    <row r="74" spans="1:42" x14ac:dyDescent="0.2">
      <c r="A74" t="s">
        <v>4</v>
      </c>
      <c r="B74" s="3">
        <f>+B73/B72</f>
        <v>0.56989247311827962</v>
      </c>
      <c r="C74" s="3">
        <f>+C73/C72</f>
        <v>0.28999999999999998</v>
      </c>
      <c r="D74" s="3"/>
      <c r="E74" s="3">
        <f t="shared" ref="E74:Y74" si="28">+E73/E72</f>
        <v>0.64</v>
      </c>
      <c r="F74" s="3">
        <f t="shared" si="28"/>
        <v>0.77039848197343452</v>
      </c>
      <c r="G74" s="3">
        <f t="shared" si="28"/>
        <v>0.41013824884792627</v>
      </c>
      <c r="H74" s="3">
        <f t="shared" si="28"/>
        <v>0.74901652242328876</v>
      </c>
      <c r="I74" s="3"/>
      <c r="J74" s="3">
        <f t="shared" si="28"/>
        <v>0.79</v>
      </c>
      <c r="K74" s="3">
        <f t="shared" si="28"/>
        <v>0.71646859083191849</v>
      </c>
      <c r="L74" s="3">
        <f t="shared" si="28"/>
        <v>0.8</v>
      </c>
      <c r="M74" s="3">
        <f t="shared" si="28"/>
        <v>0.43778801843317972</v>
      </c>
      <c r="N74" s="3">
        <f t="shared" si="28"/>
        <v>0.56999999999999995</v>
      </c>
      <c r="O74" s="3">
        <f t="shared" si="28"/>
        <v>0.43672456575682383</v>
      </c>
      <c r="P74" s="3">
        <f t="shared" si="28"/>
        <v>0.37903225806451613</v>
      </c>
      <c r="Q74" s="3">
        <f t="shared" si="28"/>
        <v>0.8212639894667545</v>
      </c>
      <c r="R74" s="43">
        <f t="shared" si="28"/>
        <v>0.156</v>
      </c>
      <c r="S74" s="3">
        <f t="shared" si="28"/>
        <v>0.42799999999999999</v>
      </c>
      <c r="T74" s="3">
        <f t="shared" si="28"/>
        <v>0.442</v>
      </c>
      <c r="U74" s="3">
        <f t="shared" si="28"/>
        <v>0.26016830294530152</v>
      </c>
      <c r="V74" s="3">
        <f t="shared" si="28"/>
        <v>0.78</v>
      </c>
      <c r="W74" s="3">
        <f t="shared" si="28"/>
        <v>0.36345939933259175</v>
      </c>
      <c r="X74" s="3">
        <f t="shared" si="28"/>
        <v>0.54004449388209119</v>
      </c>
      <c r="Y74" s="3">
        <f t="shared" si="28"/>
        <v>0.63700000000000001</v>
      </c>
      <c r="Z74" s="3">
        <v>0</v>
      </c>
      <c r="AA74" s="3">
        <f t="shared" ref="AA74:AO74" si="29">+AA73/AA72</f>
        <v>0.75698924731182793</v>
      </c>
      <c r="AB74" s="3">
        <f t="shared" si="29"/>
        <v>0.73504063038660428</v>
      </c>
      <c r="AC74" s="3">
        <f t="shared" si="29"/>
        <v>0.80376344086021501</v>
      </c>
      <c r="AD74" s="3">
        <f t="shared" si="29"/>
        <v>0.76393575381293022</v>
      </c>
      <c r="AE74" s="3">
        <f t="shared" si="29"/>
        <v>0.67200000000000004</v>
      </c>
      <c r="AF74" s="3">
        <f t="shared" si="29"/>
        <v>0.45833333333333331</v>
      </c>
      <c r="AG74" s="3">
        <f t="shared" si="29"/>
        <v>0.80392863579023244</v>
      </c>
      <c r="AH74" s="3">
        <f t="shared" si="29"/>
        <v>0.5968</v>
      </c>
      <c r="AI74" s="6">
        <f t="shared" si="29"/>
        <v>0.56438238478890701</v>
      </c>
      <c r="AJ74" s="3">
        <f t="shared" si="29"/>
        <v>0.51978929150095743</v>
      </c>
      <c r="AK74" s="3">
        <f t="shared" si="29"/>
        <v>0.64662146119443542</v>
      </c>
      <c r="AL74" s="3">
        <f t="shared" si="29"/>
        <v>0.59801601149275174</v>
      </c>
      <c r="AM74" s="3">
        <f t="shared" si="29"/>
        <v>0.69188510074732756</v>
      </c>
      <c r="AN74" s="3">
        <f t="shared" si="29"/>
        <v>0.54809952482038515</v>
      </c>
      <c r="AO74" s="3">
        <f t="shared" si="29"/>
        <v>0.32037118868758285</v>
      </c>
    </row>
    <row r="75" spans="1:42" x14ac:dyDescent="0.2">
      <c r="A75" s="20"/>
      <c r="B75" s="20">
        <v>1</v>
      </c>
      <c r="C75" s="20">
        <v>1</v>
      </c>
      <c r="D75" s="20"/>
      <c r="E75" s="20">
        <v>1</v>
      </c>
      <c r="F75" s="20">
        <v>1</v>
      </c>
      <c r="G75" s="20">
        <v>1</v>
      </c>
      <c r="H75" s="20">
        <v>1</v>
      </c>
      <c r="I75" s="20"/>
      <c r="J75" s="20">
        <v>1</v>
      </c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44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/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19">
        <f>SUM(B75:AH75)</f>
        <v>30</v>
      </c>
      <c r="AJ75" s="20">
        <f>+AA75+R75+W75+AB75+AD75+T75</f>
        <v>6</v>
      </c>
      <c r="AK75" s="20">
        <f>+C75+H75+N75+Q75+S75+Y75+D75+AG75+X75+AE75</f>
        <v>9</v>
      </c>
      <c r="AL75" s="20">
        <f>+B75+E75+P75+AC75+AH75+AF75+K75+L75+V75+U75+Z75+M75+J75+G75+F75+I75+O75</f>
        <v>15</v>
      </c>
      <c r="AM75" s="20">
        <f>+Q75+V75+Y75+AH75+N75+H75+E75</f>
        <v>7</v>
      </c>
      <c r="AN75" s="20">
        <f>+B75+C75+J75+K75+L75+P75+R75+S75+W75+AA75+AB75+AC75+AD75+AF75+T75+D75+AG75+X75+M75+F75+AE75</f>
        <v>20</v>
      </c>
      <c r="AO75" s="20">
        <f>+Z75+U75+G75+I75+O75</f>
        <v>3</v>
      </c>
    </row>
    <row r="76" spans="1:42" x14ac:dyDescent="0.2">
      <c r="A76" t="s">
        <v>61</v>
      </c>
      <c r="AI76">
        <f>+AI6+AI12+AI18+AI24+AI30+AI36+AI42+AI48+AI54+AI60+AI66+AI72</f>
        <v>1058442.8739447305</v>
      </c>
      <c r="AJ76">
        <f>+AJ6+AJ12+AJ18+AJ24+AJ30+AJ36+AJ42+AJ48+AJ54+AJ60+AJ66+AJ72</f>
        <v>635711</v>
      </c>
      <c r="AK76">
        <f t="shared" ref="AI76:AO77" si="30">+AK6+AK12+AK18+AK24+AK30+AK36+AK42+AK48+AK54+AK60+AK66+AK72</f>
        <v>259417.87394473064</v>
      </c>
      <c r="AL76">
        <f t="shared" si="30"/>
        <v>163854</v>
      </c>
      <c r="AM76">
        <f t="shared" si="30"/>
        <v>147819.57394473063</v>
      </c>
      <c r="AN76">
        <f t="shared" si="30"/>
        <v>885360.3</v>
      </c>
      <c r="AO76">
        <f t="shared" si="30"/>
        <v>25803</v>
      </c>
    </row>
    <row r="77" spans="1:42" x14ac:dyDescent="0.2">
      <c r="E77">
        <f>+E66+E60+E54+E6+E12+E18+E24+E30+E36+E42+E48+E71</f>
        <v>34008</v>
      </c>
      <c r="G77">
        <f>+G66+G60+G54+G6+G12+G18+G24+G30+G36+G42+G48+G71</f>
        <v>4690</v>
      </c>
      <c r="H77">
        <f>+H66+H60+H54+H6+H12+H18+H24+H30+H36+H42+H48+H71</f>
        <v>21730</v>
      </c>
      <c r="N77">
        <f>+N66+N60+N54+N6+N12+N18+N24+N30+N36+N42+N48+N71</f>
        <v>17501</v>
      </c>
      <c r="Q77">
        <f>+Q66+Q60+Q54+Q6+Q12+Q18+Q24+Q30+Q36+Q42+Q48+Q71</f>
        <v>32827</v>
      </c>
      <c r="S77">
        <f>+S66+S60+S54+S6+S12+S18+S24+S30+S36+S42+S48+S71</f>
        <v>37185</v>
      </c>
      <c r="T77">
        <f>+T66+T60+T54+T6+T12+T18+T24+T30+T36+T42+T48+T71</f>
        <v>64050</v>
      </c>
      <c r="W77">
        <f>+W66+W60+W54+W6+W12+W18+W24+W30+W36+W42+W48+W71</f>
        <v>155440</v>
      </c>
      <c r="Y77">
        <f>+Y66+Y60+Y54+Y6+Y12+Y18+Y24+Y30+Y36+Y42+Y48+Y71</f>
        <v>11859.907278063964</v>
      </c>
      <c r="AA77">
        <f>+AA66+AA60+AA54+AA6+AA12+AA18+AA24+AA30+AA36+AA42+AA48+AA71</f>
        <v>60300</v>
      </c>
      <c r="AB77">
        <f>+AB66+AB60+AB54+AB6+AB12+AB18+AB24+AB30+AB36+AB42+AB48+AB72</f>
        <v>143838</v>
      </c>
      <c r="AC77">
        <f>+AC66+AC60+AC54+AC6+AC12+AC18+AC24+AC30+AC36+AC42+AC48+AC71</f>
        <v>4020</v>
      </c>
      <c r="AD77">
        <f>+AD66+AD60+AD54+AD6+AD12+AD18+AD24+AD30+AD36+AD42+AD48+AD71</f>
        <v>80844</v>
      </c>
      <c r="AG77">
        <f>+AG66+AG60+AG54+AG6+AG12+AG18+AG24+AG30+AG36+AG42+AG48+AG71</f>
        <v>59509</v>
      </c>
      <c r="AH77">
        <f>+AH66+AH60+AH54+AH6+AH12+AH18+AH24+AH30+AH36+AH42+AH48+AH71</f>
        <v>9174</v>
      </c>
      <c r="AI77">
        <f t="shared" si="30"/>
        <v>617438.28466666676</v>
      </c>
      <c r="AJ77">
        <f t="shared" si="30"/>
        <v>355415.22400000005</v>
      </c>
      <c r="AK77">
        <f t="shared" si="30"/>
        <v>164096.84226666667</v>
      </c>
      <c r="AL77">
        <f t="shared" si="30"/>
        <v>98001.218400000012</v>
      </c>
      <c r="AM77">
        <f t="shared" si="30"/>
        <v>98469.719066666672</v>
      </c>
      <c r="AN77">
        <f t="shared" si="30"/>
        <v>510352.46360000002</v>
      </c>
      <c r="AO77">
        <f t="shared" si="30"/>
        <v>8691.101999999999</v>
      </c>
    </row>
    <row r="78" spans="1:42" x14ac:dyDescent="0.2">
      <c r="E78">
        <f>+E67+E61+E55+E7+E13+E19+E25+E31+E37+E43+E49+E72</f>
        <v>24668.240000000002</v>
      </c>
      <c r="G78">
        <f>+G67+G61+G55+G7+G13+G19+G25+G31+G37+G43+G49+G72</f>
        <v>2003.4560000000001</v>
      </c>
      <c r="H78">
        <f>+H67+H61+H55+H7+H13+H19+H25+H31+H37+H43+H49+H72</f>
        <v>14975.702000000001</v>
      </c>
      <c r="N78">
        <f>+N67+N61+N55+N7+N13+N19+N25+N31+N37+N43+N49+N72</f>
        <v>11699</v>
      </c>
      <c r="O78">
        <f>+O67+O61+O55+O7+O13+O19+O25+O31+O37+O43+O49+O72</f>
        <v>590</v>
      </c>
      <c r="P78">
        <f>+P67+P61+P55+P7+P13+P19+P25+P31+P37+P43+P49+P72</f>
        <v>1886</v>
      </c>
      <c r="Q78">
        <f>+Q67+Q61+Q55+Q7+Q13+Q19+Q25+Q31+Q37+Q43+Q49+Q73</f>
        <v>30358</v>
      </c>
      <c r="R78">
        <f t="shared" ref="R78:AH78" si="31">+R67+R61+R55+R7+R13+R19+R25+R31+R37+R43+R49+R73</f>
        <v>10351.174000000001</v>
      </c>
      <c r="S78">
        <f t="shared" si="31"/>
        <v>16612.572</v>
      </c>
      <c r="T78">
        <f t="shared" si="31"/>
        <v>32377.800000000003</v>
      </c>
      <c r="U78">
        <f t="shared" si="31"/>
        <v>6030.6459999999997</v>
      </c>
      <c r="V78">
        <f t="shared" si="31"/>
        <v>5829.25</v>
      </c>
      <c r="W78">
        <f t="shared" si="31"/>
        <v>72249.16</v>
      </c>
      <c r="X78">
        <f t="shared" si="31"/>
        <v>9615.42</v>
      </c>
      <c r="Y78">
        <f t="shared" si="31"/>
        <v>8932.3266666666659</v>
      </c>
      <c r="Z78">
        <f t="shared" si="31"/>
        <v>0</v>
      </c>
      <c r="AA78">
        <f t="shared" si="31"/>
        <v>53813.94</v>
      </c>
      <c r="AB78">
        <f>+AB67+AB61+AB55+AB7+AB13+AB19+AB25+AB31+AB37+AB43+AB49+AB73</f>
        <v>117603.15</v>
      </c>
      <c r="AC78">
        <f t="shared" si="31"/>
        <v>3118</v>
      </c>
      <c r="AD78">
        <f t="shared" si="31"/>
        <v>69020</v>
      </c>
      <c r="AE78">
        <f t="shared" si="31"/>
        <v>11304.641599999999</v>
      </c>
      <c r="AF78">
        <f t="shared" si="31"/>
        <v>8455</v>
      </c>
      <c r="AG78">
        <f t="shared" si="31"/>
        <v>53533</v>
      </c>
      <c r="AH78">
        <f t="shared" si="31"/>
        <v>4821.4004000000004</v>
      </c>
      <c r="AI78" s="6">
        <f t="shared" ref="AI78:AO78" si="32">+AI77/AI76</f>
        <v>0.58334587521528158</v>
      </c>
      <c r="AJ78" s="6">
        <f t="shared" si="32"/>
        <v>0.5590830172830108</v>
      </c>
      <c r="AK78" s="6">
        <f t="shared" si="32"/>
        <v>0.63255796438154355</v>
      </c>
      <c r="AL78" s="6">
        <f t="shared" si="32"/>
        <v>0.59810086052217226</v>
      </c>
      <c r="AM78" s="6">
        <f t="shared" si="32"/>
        <v>0.66614803735995243</v>
      </c>
      <c r="AN78" s="6">
        <f t="shared" si="32"/>
        <v>0.57643477305228163</v>
      </c>
      <c r="AO78" s="6">
        <f t="shared" si="32"/>
        <v>0.33682525287757231</v>
      </c>
    </row>
    <row r="79" spans="1:42" x14ac:dyDescent="0.2">
      <c r="E79">
        <f>+E78/E77</f>
        <v>0.7253657962832275</v>
      </c>
      <c r="G79">
        <f>+G78/G77</f>
        <v>0.42717611940298511</v>
      </c>
      <c r="H79">
        <f>+H78/H77</f>
        <v>0.68917174413253568</v>
      </c>
      <c r="N79">
        <f>+N78/N77</f>
        <v>0.66847608708073825</v>
      </c>
      <c r="Q79">
        <f>+Q78/Q77</f>
        <v>0.9247875224662625</v>
      </c>
      <c r="S79">
        <f>+S78/S77</f>
        <v>0.44675465913674867</v>
      </c>
      <c r="T79">
        <f>+T78/T77</f>
        <v>0.50550819672131153</v>
      </c>
      <c r="W79">
        <f>+W78/W77</f>
        <v>0.46480416881111686</v>
      </c>
      <c r="Y79">
        <f>+Y78/Y77</f>
        <v>0.75315316192967718</v>
      </c>
      <c r="AA79">
        <f>+AA78/AA77</f>
        <v>0.89243681592039803</v>
      </c>
      <c r="AB79">
        <f>+AB78/AB77</f>
        <v>0.81760835106161089</v>
      </c>
      <c r="AC79">
        <f>+AC78/AC77</f>
        <v>0.77562189054726371</v>
      </c>
      <c r="AD79">
        <f>+AD78/AD77</f>
        <v>0.85374301123150764</v>
      </c>
      <c r="AG79">
        <f>+AG78/AG77</f>
        <v>0.89957821505990687</v>
      </c>
      <c r="AH79">
        <f>+AH78/AH77</f>
        <v>0.52555051231741889</v>
      </c>
    </row>
    <row r="81" spans="35:35" x14ac:dyDescent="0.2">
      <c r="AI81">
        <f>+AI6+AI12+AI18+AI24</f>
        <v>362084.33535844472</v>
      </c>
    </row>
    <row r="82" spans="35:35" x14ac:dyDescent="0.2">
      <c r="AI82">
        <f>+AI7+AI13+AI19+AI25</f>
        <v>242343.35320000001</v>
      </c>
    </row>
    <row r="83" spans="35:35" x14ac:dyDescent="0.2">
      <c r="AI83">
        <f>+AI82/AI81</f>
        <v>0.66930084937281986</v>
      </c>
    </row>
    <row r="86" spans="35:35" x14ac:dyDescent="0.2">
      <c r="AI86">
        <f>+AI6+AI12+AI18+AI24+AI30+AI36+AI42+AI48</f>
        <v>712522.90727806394</v>
      </c>
    </row>
    <row r="87" spans="35:35" x14ac:dyDescent="0.2">
      <c r="AI87">
        <f>+AI7+AI13+AI19+AI25+AI31+AI37+AI43+AI49</f>
        <v>432583.03020000004</v>
      </c>
    </row>
    <row r="88" spans="35:35" x14ac:dyDescent="0.2">
      <c r="AI88">
        <f>+AI87/AI86</f>
        <v>0.60711455839718476</v>
      </c>
    </row>
  </sheetData>
  <pageMargins left="0.74803149606299213" right="0.4" top="0.53" bottom="0.47" header="0.51181102362204722" footer="0.51181102362204722"/>
  <pageSetup scale="41" orientation="landscape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4"/>
  <sheetViews>
    <sheetView topLeftCell="A2" zoomScaleNormal="100" workbookViewId="0">
      <pane xSplit="1" ySplit="3" topLeftCell="V5" activePane="bottomRight" state="frozen"/>
      <selection activeCell="A2" sqref="A2"/>
      <selection pane="topRight" activeCell="B2" sqref="B2"/>
      <selection pane="bottomLeft" activeCell="A5" sqref="A5"/>
      <selection pane="bottomRight" activeCell="AT21" sqref="AT21"/>
    </sheetView>
  </sheetViews>
  <sheetFormatPr defaultRowHeight="12.75" x14ac:dyDescent="0.2"/>
  <cols>
    <col min="1" max="1" width="16" customWidth="1"/>
    <col min="2" max="6" width="7" customWidth="1"/>
    <col min="7" max="7" width="6.140625" customWidth="1"/>
    <col min="8" max="27" width="7" customWidth="1"/>
    <col min="28" max="28" width="8.5703125" customWidth="1"/>
    <col min="29" max="30" width="7" customWidth="1"/>
    <col min="31" max="32" width="8.140625" customWidth="1"/>
    <col min="33" max="33" width="8.28515625" customWidth="1"/>
    <col min="34" max="34" width="7" customWidth="1"/>
    <col min="35" max="35" width="9.85546875" customWidth="1"/>
    <col min="36" max="36" width="8.7109375" customWidth="1"/>
    <col min="37" max="37" width="8.42578125" customWidth="1"/>
    <col min="38" max="38" width="8.28515625" customWidth="1"/>
    <col min="39" max="39" width="8" customWidth="1"/>
    <col min="40" max="40" width="9.28515625" customWidth="1"/>
    <col min="41" max="41" width="7.85546875" customWidth="1"/>
  </cols>
  <sheetData>
    <row r="1" spans="1:44" x14ac:dyDescent="0.2">
      <c r="M1" t="s">
        <v>15</v>
      </c>
      <c r="U1" t="s">
        <v>15</v>
      </c>
      <c r="W1" t="s">
        <v>15</v>
      </c>
      <c r="Y1" t="s">
        <v>15</v>
      </c>
    </row>
    <row r="2" spans="1:44" x14ac:dyDescent="0.2">
      <c r="A2" t="s">
        <v>36</v>
      </c>
      <c r="B2" s="10"/>
      <c r="C2" s="10"/>
      <c r="D2" s="11"/>
      <c r="E2" s="10"/>
      <c r="F2" s="11"/>
      <c r="G2" s="10"/>
      <c r="H2" s="11"/>
      <c r="I2" s="11"/>
      <c r="J2" s="11"/>
      <c r="K2" s="11"/>
      <c r="L2" s="10"/>
      <c r="M2" s="10"/>
      <c r="N2" s="11"/>
      <c r="O2" s="11"/>
      <c r="P2" s="10"/>
      <c r="Q2" s="11"/>
      <c r="R2" s="12"/>
      <c r="S2" s="11"/>
      <c r="T2" s="12"/>
      <c r="U2" s="10"/>
      <c r="V2" s="10"/>
      <c r="W2" s="12"/>
      <c r="X2" s="12"/>
      <c r="Y2" s="11"/>
      <c r="Z2" s="10"/>
      <c r="AA2" s="12"/>
      <c r="AB2" s="12"/>
      <c r="AC2" s="10"/>
      <c r="AD2" s="12"/>
      <c r="AE2" s="12"/>
      <c r="AF2" s="10"/>
      <c r="AG2" s="10"/>
      <c r="AH2" s="10"/>
    </row>
    <row r="3" spans="1:44" x14ac:dyDescent="0.2">
      <c r="A3" t="s">
        <v>37</v>
      </c>
      <c r="B3" s="14"/>
      <c r="C3" s="14"/>
      <c r="D3" s="14"/>
      <c r="E3" s="13"/>
      <c r="F3" s="14"/>
      <c r="G3" s="15"/>
      <c r="H3" s="13"/>
      <c r="I3" s="13"/>
      <c r="J3" s="14"/>
      <c r="K3" s="14"/>
      <c r="L3" s="14"/>
      <c r="M3" s="14"/>
      <c r="N3" s="13"/>
      <c r="O3" s="13"/>
      <c r="P3" s="14"/>
      <c r="Q3" s="13"/>
      <c r="R3" s="14"/>
      <c r="S3" s="14"/>
      <c r="T3" s="14"/>
      <c r="U3" s="15"/>
      <c r="V3" s="13"/>
      <c r="W3" s="14"/>
      <c r="X3" s="14"/>
      <c r="Y3" s="13"/>
      <c r="Z3" s="15"/>
      <c r="AA3" s="14"/>
      <c r="AB3" s="14"/>
      <c r="AC3" s="14"/>
      <c r="AD3" s="14"/>
      <c r="AE3" s="14"/>
      <c r="AF3" s="14"/>
      <c r="AG3" s="14"/>
      <c r="AH3" s="13"/>
    </row>
    <row r="4" spans="1:44" ht="123.75" x14ac:dyDescent="0.2">
      <c r="B4" s="7" t="s">
        <v>24</v>
      </c>
      <c r="C4" s="7" t="s">
        <v>7</v>
      </c>
      <c r="D4" s="8" t="s">
        <v>39</v>
      </c>
      <c r="E4" s="8" t="s">
        <v>10</v>
      </c>
      <c r="F4" s="7" t="s">
        <v>96</v>
      </c>
      <c r="G4" s="7" t="s">
        <v>31</v>
      </c>
      <c r="H4" s="8" t="s">
        <v>19</v>
      </c>
      <c r="I4" s="8" t="s">
        <v>157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8" t="s">
        <v>159</v>
      </c>
      <c r="P4" s="7" t="s">
        <v>8</v>
      </c>
      <c r="Q4" s="8" t="s">
        <v>6</v>
      </c>
      <c r="R4" s="9" t="s">
        <v>16</v>
      </c>
      <c r="S4" s="8" t="s">
        <v>34</v>
      </c>
      <c r="T4" s="9" t="s">
        <v>55</v>
      </c>
      <c r="U4" s="7" t="s">
        <v>27</v>
      </c>
      <c r="V4" s="7" t="s">
        <v>38</v>
      </c>
      <c r="W4" s="9" t="s">
        <v>14</v>
      </c>
      <c r="X4" s="9" t="s">
        <v>126</v>
      </c>
      <c r="Y4" s="8" t="s">
        <v>28</v>
      </c>
      <c r="Z4" s="7" t="s">
        <v>176</v>
      </c>
      <c r="AA4" s="9" t="s">
        <v>33</v>
      </c>
      <c r="AB4" s="9" t="s">
        <v>9</v>
      </c>
      <c r="AC4" s="7" t="s">
        <v>20</v>
      </c>
      <c r="AD4" s="9" t="s">
        <v>32</v>
      </c>
      <c r="AE4" s="9" t="s">
        <v>120</v>
      </c>
      <c r="AF4" s="7" t="s">
        <v>5</v>
      </c>
      <c r="AG4" s="7" t="s">
        <v>68</v>
      </c>
      <c r="AH4" s="7" t="s">
        <v>11</v>
      </c>
      <c r="AI4" s="4" t="s">
        <v>13</v>
      </c>
      <c r="AJ4" s="1" t="s">
        <v>21</v>
      </c>
      <c r="AK4" s="1" t="s">
        <v>22</v>
      </c>
      <c r="AL4" s="1" t="s">
        <v>23</v>
      </c>
      <c r="AM4" s="1" t="s">
        <v>43</v>
      </c>
      <c r="AN4" s="1" t="s">
        <v>44</v>
      </c>
      <c r="AO4" s="1" t="s">
        <v>45</v>
      </c>
    </row>
    <row r="5" spans="1:44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1"/>
      <c r="AC5" s="1"/>
      <c r="AD5" s="1"/>
      <c r="AE5" s="1"/>
      <c r="AI5" s="5"/>
    </row>
    <row r="6" spans="1:44" x14ac:dyDescent="0.2">
      <c r="A6" t="s">
        <v>1</v>
      </c>
      <c r="B6" s="38">
        <f>18*31</f>
        <v>558</v>
      </c>
      <c r="C6" s="38">
        <v>1643</v>
      </c>
      <c r="D6" s="38"/>
      <c r="E6" s="38">
        <v>3379</v>
      </c>
      <c r="F6" s="38">
        <v>527</v>
      </c>
      <c r="G6" s="38">
        <v>434</v>
      </c>
      <c r="H6" s="38">
        <v>2542</v>
      </c>
      <c r="I6" s="38"/>
      <c r="J6" s="38">
        <v>1787</v>
      </c>
      <c r="K6" s="38">
        <v>1178</v>
      </c>
      <c r="L6" s="38">
        <v>775</v>
      </c>
      <c r="M6" s="38">
        <v>434</v>
      </c>
      <c r="N6" s="38">
        <v>2232</v>
      </c>
      <c r="O6" s="38">
        <f>+O7/0.389</f>
        <v>434.44730077120823</v>
      </c>
      <c r="P6" s="38">
        <v>744</v>
      </c>
      <c r="Q6" s="38">
        <v>3030</v>
      </c>
      <c r="R6" s="38">
        <v>8246</v>
      </c>
      <c r="S6" s="38">
        <v>3441</v>
      </c>
      <c r="T6" s="38">
        <v>6510</v>
      </c>
      <c r="U6" s="38">
        <v>1426</v>
      </c>
      <c r="V6" s="38">
        <v>775</v>
      </c>
      <c r="W6" s="38">
        <v>14384</v>
      </c>
      <c r="X6" s="38">
        <v>1798</v>
      </c>
      <c r="Y6" s="38">
        <v>1240</v>
      </c>
      <c r="Z6" s="38"/>
      <c r="AA6" s="38">
        <v>5580</v>
      </c>
      <c r="AB6" s="38">
        <v>12183</v>
      </c>
      <c r="AC6" s="38">
        <v>403</v>
      </c>
      <c r="AD6" s="38">
        <v>7826</v>
      </c>
      <c r="AE6" s="38">
        <v>1859</v>
      </c>
      <c r="AF6" s="38">
        <v>1519</v>
      </c>
      <c r="AG6" s="38">
        <v>5549</v>
      </c>
      <c r="AH6" s="38">
        <v>1054</v>
      </c>
      <c r="AI6" s="19">
        <f>SUM(B6:AH6)</f>
        <v>93490.447300771208</v>
      </c>
      <c r="AJ6">
        <f>+AA6+R6+W6+AB6+AD6+T6+AG6</f>
        <v>60278</v>
      </c>
      <c r="AK6" s="20">
        <f>+C6+H6+N6+Q6+S6+Y6+D6+X6+AE6+E6</f>
        <v>21164</v>
      </c>
      <c r="AL6">
        <f>+B6+P6+AC6+AH6+AF6+K6+L6+V6+U6+Z6+M6+J6+G6+F6+I6+O6</f>
        <v>12048.447300771208</v>
      </c>
      <c r="AM6">
        <f>+Q6+V6+Y6+AH6+N6+H6+E6</f>
        <v>14252</v>
      </c>
      <c r="AN6" s="20">
        <f>+B6+C6+J6+K6+L6+P6+R6+S6+W6+AA6+AB6+AC6+AD6+AF6+T6+D6+AG6+X6+M6+F6+AE6</f>
        <v>76944</v>
      </c>
      <c r="AO6" s="20">
        <f>+Z6+U6+G6+I6+O6</f>
        <v>2294.4473007712081</v>
      </c>
      <c r="AP6">
        <f>+AJ6+AK6+AL6</f>
        <v>93490.447300771208</v>
      </c>
      <c r="AQ6">
        <f>+AJ6+AK6+AL6</f>
        <v>93490.447300771208</v>
      </c>
      <c r="AR6">
        <f>+AO6+AN6+AM6</f>
        <v>93490.447300771208</v>
      </c>
    </row>
    <row r="7" spans="1:44" x14ac:dyDescent="0.2">
      <c r="A7" t="s">
        <v>2</v>
      </c>
      <c r="B7" s="38">
        <v>308</v>
      </c>
      <c r="C7" s="38">
        <v>756</v>
      </c>
      <c r="D7" s="38"/>
      <c r="E7" s="38">
        <f>+E6*0.68</f>
        <v>2297.7200000000003</v>
      </c>
      <c r="F7" s="38">
        <v>485</v>
      </c>
      <c r="G7" s="38">
        <v>177</v>
      </c>
      <c r="H7" s="38">
        <v>1329</v>
      </c>
      <c r="I7" s="38"/>
      <c r="J7" s="38">
        <f>+J6*0.87</f>
        <v>1554.69</v>
      </c>
      <c r="K7" s="38">
        <v>1029</v>
      </c>
      <c r="L7" s="38">
        <v>698</v>
      </c>
      <c r="M7" s="38">
        <f>+M6*0.5461</f>
        <v>237.00740000000002</v>
      </c>
      <c r="N7" s="38">
        <f>+N6*0.59</f>
        <v>1316.8799999999999</v>
      </c>
      <c r="O7" s="38">
        <v>169</v>
      </c>
      <c r="P7" s="38">
        <v>314</v>
      </c>
      <c r="Q7" s="38">
        <v>2900</v>
      </c>
      <c r="R7" s="38">
        <v>874</v>
      </c>
      <c r="S7" s="38">
        <f>+S6*0.4</f>
        <v>1376.4</v>
      </c>
      <c r="T7" s="38">
        <f>+T6*0.691</f>
        <v>4498.41</v>
      </c>
      <c r="U7" s="38">
        <v>420</v>
      </c>
      <c r="V7" s="38">
        <f>+V6*0.86</f>
        <v>666.5</v>
      </c>
      <c r="W7" s="38">
        <v>8148</v>
      </c>
      <c r="X7" s="38">
        <f>+X6*0.67</f>
        <v>1204.6600000000001</v>
      </c>
      <c r="Y7" s="38">
        <f>+Y6*0.749</f>
        <v>928.76</v>
      </c>
      <c r="Z7" s="38"/>
      <c r="AA7" s="38">
        <f>+AA6*0.85</f>
        <v>4743</v>
      </c>
      <c r="AB7" s="38">
        <v>11366</v>
      </c>
      <c r="AC7" s="38">
        <v>349</v>
      </c>
      <c r="AD7" s="38">
        <v>6768</v>
      </c>
      <c r="AE7" s="38">
        <f>+AE6*0.582</f>
        <v>1081.9379999999999</v>
      </c>
      <c r="AF7" s="38">
        <v>1061</v>
      </c>
      <c r="AG7" s="38">
        <v>4936</v>
      </c>
      <c r="AH7" s="38">
        <v>945</v>
      </c>
      <c r="AI7" s="19">
        <f>SUM(B7:AH7)</f>
        <v>62937.965400000001</v>
      </c>
      <c r="AJ7">
        <f>+AA7+R7+W7+AB7+AD7+T7+AG7</f>
        <v>41333.410000000003</v>
      </c>
      <c r="AK7" s="20">
        <f>+C7+H7+N7+Q7+S7+Y7+D7+X7+AE7+E7</f>
        <v>13191.358</v>
      </c>
      <c r="AL7">
        <f>+B7+P7+AC7+AH7+AF7+K7+L7+V7+U7+Z7+M7+J7+G7+F7+I7+O7</f>
        <v>8413.1974000000009</v>
      </c>
      <c r="AM7">
        <f>+Q7+V7+Y7+AH7+N7+H7+E7</f>
        <v>10383.86</v>
      </c>
      <c r="AN7" s="20">
        <f>+B7+C7+J7+K7+L7+P7+R7+S7+W7+AA7+AB7+AC7+AD7+AF7+T7+D7+AG7+X7+M7+F7+AE7</f>
        <v>51788.105400000008</v>
      </c>
      <c r="AO7" s="20">
        <f>+Z7+U7+G7+I7+O7</f>
        <v>766</v>
      </c>
      <c r="AP7">
        <f>+AJ7+AK7+AL7</f>
        <v>62937.965400000001</v>
      </c>
      <c r="AQ7">
        <f>+AJ7+AK7+AL7</f>
        <v>62937.965400000001</v>
      </c>
      <c r="AR7">
        <f>+AO7+AN7+AM7</f>
        <v>62937.965400000008</v>
      </c>
    </row>
    <row r="8" spans="1:44" x14ac:dyDescent="0.2">
      <c r="A8" t="s">
        <v>4</v>
      </c>
      <c r="B8" s="3">
        <f>+B7/B6</f>
        <v>0.55197132616487454</v>
      </c>
      <c r="C8" s="3">
        <f>+C7/C6</f>
        <v>0.46013390139987825</v>
      </c>
      <c r="D8" s="3"/>
      <c r="E8" s="3">
        <f>+E7/E6</f>
        <v>0.68</v>
      </c>
      <c r="F8" s="3">
        <f>+F7/F6</f>
        <v>0.92030360531309297</v>
      </c>
      <c r="G8" s="3">
        <f t="shared" ref="G8:Y8" si="0">+G7/G6</f>
        <v>0.40783410138248849</v>
      </c>
      <c r="H8" s="3">
        <f t="shared" si="0"/>
        <v>0.52281667977970103</v>
      </c>
      <c r="I8" s="3"/>
      <c r="J8" s="3">
        <f t="shared" si="0"/>
        <v>0.87</v>
      </c>
      <c r="K8" s="3">
        <f t="shared" si="0"/>
        <v>0.87351443123938877</v>
      </c>
      <c r="L8" s="3">
        <f t="shared" si="0"/>
        <v>0.90064516129032257</v>
      </c>
      <c r="M8" s="3">
        <f t="shared" si="0"/>
        <v>0.54610000000000003</v>
      </c>
      <c r="N8" s="3">
        <f t="shared" si="0"/>
        <v>0.59</v>
      </c>
      <c r="O8" s="3">
        <f t="shared" si="0"/>
        <v>0.38900000000000001</v>
      </c>
      <c r="P8" s="3">
        <f>+P7/P6</f>
        <v>0.42204301075268819</v>
      </c>
      <c r="Q8" s="3">
        <f t="shared" si="0"/>
        <v>0.95709570957095713</v>
      </c>
      <c r="R8" s="3">
        <f>+R7/R6</f>
        <v>0.10599078341013825</v>
      </c>
      <c r="S8" s="3">
        <f t="shared" si="0"/>
        <v>0.4</v>
      </c>
      <c r="T8" s="3">
        <f t="shared" si="0"/>
        <v>0.69099999999999995</v>
      </c>
      <c r="U8" s="3">
        <f t="shared" si="0"/>
        <v>0.29453015427769985</v>
      </c>
      <c r="V8" s="3">
        <f t="shared" si="0"/>
        <v>0.86</v>
      </c>
      <c r="W8" s="3">
        <f t="shared" si="0"/>
        <v>0.56646273637374855</v>
      </c>
      <c r="X8" s="3">
        <f t="shared" si="0"/>
        <v>0.67</v>
      </c>
      <c r="Y8" s="3">
        <f t="shared" si="0"/>
        <v>0.749</v>
      </c>
      <c r="Z8" s="3"/>
      <c r="AA8" s="3">
        <f t="shared" ref="AA8:AO8" si="1">+AA7/AA6</f>
        <v>0.85</v>
      </c>
      <c r="AB8" s="3">
        <f t="shared" si="1"/>
        <v>0.9329393417056554</v>
      </c>
      <c r="AC8" s="3">
        <f t="shared" si="1"/>
        <v>0.86600496277915628</v>
      </c>
      <c r="AD8" s="3">
        <f t="shared" si="1"/>
        <v>0.86480960899565551</v>
      </c>
      <c r="AE8" s="3">
        <f t="shared" si="1"/>
        <v>0.58199999999999996</v>
      </c>
      <c r="AF8" s="3">
        <f t="shared" si="1"/>
        <v>0.69848584595128371</v>
      </c>
      <c r="AG8" s="3">
        <f t="shared" si="1"/>
        <v>0.88952964498107767</v>
      </c>
      <c r="AH8" s="3">
        <f t="shared" si="1"/>
        <v>0.896584440227704</v>
      </c>
      <c r="AI8" s="6">
        <f t="shared" si="1"/>
        <v>0.6732020994350385</v>
      </c>
      <c r="AJ8" s="3">
        <f>+AJ7/AJ6</f>
        <v>0.68571302962938396</v>
      </c>
      <c r="AK8" s="3">
        <f>+AK7/AK6</f>
        <v>0.62329228879228882</v>
      </c>
      <c r="AL8" s="3">
        <f>+AL7/AL6</f>
        <v>0.69828063234849203</v>
      </c>
      <c r="AM8" s="3">
        <f t="shared" si="1"/>
        <v>0.72858967162503507</v>
      </c>
      <c r="AN8" s="3">
        <f t="shared" si="1"/>
        <v>0.67306229725514666</v>
      </c>
      <c r="AO8" s="3">
        <f t="shared" si="1"/>
        <v>0.3338494633293746</v>
      </c>
    </row>
    <row r="9" spans="1:44" x14ac:dyDescent="0.2">
      <c r="A9" s="20"/>
      <c r="B9" s="20">
        <v>1</v>
      </c>
      <c r="C9" s="20">
        <v>1</v>
      </c>
      <c r="D9" s="20"/>
      <c r="E9" s="20">
        <v>1</v>
      </c>
      <c r="F9" s="20">
        <v>1</v>
      </c>
      <c r="G9" s="20">
        <v>1</v>
      </c>
      <c r="H9" s="20">
        <v>1</v>
      </c>
      <c r="I9" s="20"/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/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19">
        <f>SUM(B9:AH9)</f>
        <v>30</v>
      </c>
      <c r="AJ9" s="20">
        <f>+AA9+R9+W9+AB9+AD9+T9+AG9</f>
        <v>7</v>
      </c>
      <c r="AK9" s="20">
        <f>+C9+H9+N9+Q9+S9+Y9+D9+X9+AE9+E9</f>
        <v>9</v>
      </c>
      <c r="AL9" s="20">
        <f>+B9+P9+AC9+AH9+AF9+K9+L9+V9+U9+Z9+M9+J9+G9+F9+I9+O9</f>
        <v>14</v>
      </c>
      <c r="AM9" s="20">
        <f>+Q9+V9+Y9+AH9+N9+H9+E9</f>
        <v>7</v>
      </c>
      <c r="AN9" s="20">
        <f>+B9+C9+J9+K9+L9+P9+R9+S9+W9+AA9+AB9+AC9+AD9+AF9+T9+D9+AG9+X9+M9+F9+AE9</f>
        <v>20</v>
      </c>
      <c r="AO9" s="20">
        <f>+Z9+U9+G9+I9+O9</f>
        <v>3</v>
      </c>
    </row>
    <row r="10" spans="1:44" x14ac:dyDescent="0.2">
      <c r="Z10" t="s">
        <v>15</v>
      </c>
    </row>
    <row r="11" spans="1:44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1"/>
      <c r="AC11" s="1"/>
      <c r="AD11" s="1"/>
      <c r="AE11" s="1"/>
      <c r="AI11" s="5"/>
    </row>
    <row r="12" spans="1:44" x14ac:dyDescent="0.2">
      <c r="A12" t="s">
        <v>1</v>
      </c>
      <c r="B12" s="38">
        <f>558/31*28</f>
        <v>504</v>
      </c>
      <c r="C12" s="38">
        <f>1643/31*28</f>
        <v>1484</v>
      </c>
      <c r="D12" s="38"/>
      <c r="E12" s="38">
        <f>3379/31*28</f>
        <v>3052</v>
      </c>
      <c r="F12" s="38">
        <f>527/31*28</f>
        <v>476</v>
      </c>
      <c r="G12" s="38">
        <f>434/31*28</f>
        <v>392</v>
      </c>
      <c r="H12" s="38">
        <f>2542/31*28</f>
        <v>2296</v>
      </c>
      <c r="I12" s="38"/>
      <c r="J12" s="38">
        <f>1787/31*28</f>
        <v>1614.0645161290324</v>
      </c>
      <c r="K12" s="38">
        <f>1178/31*28</f>
        <v>1064</v>
      </c>
      <c r="L12" s="38">
        <f>775/31*28</f>
        <v>700</v>
      </c>
      <c r="M12" s="38">
        <f>434/31*28</f>
        <v>392</v>
      </c>
      <c r="N12" s="38">
        <f>2232/31*28</f>
        <v>2016</v>
      </c>
      <c r="O12" s="38">
        <f>434/31*28</f>
        <v>392</v>
      </c>
      <c r="P12" s="38">
        <v>672</v>
      </c>
      <c r="Q12" s="38">
        <v>2744</v>
      </c>
      <c r="R12" s="38">
        <f>8246/31*28</f>
        <v>7448</v>
      </c>
      <c r="S12" s="38">
        <f>3441/31*28</f>
        <v>3108</v>
      </c>
      <c r="T12" s="38">
        <f>6510/31*28</f>
        <v>5880</v>
      </c>
      <c r="U12" s="38">
        <f>1426/31*28</f>
        <v>1288</v>
      </c>
      <c r="V12" s="38">
        <f>775/31*28</f>
        <v>700</v>
      </c>
      <c r="W12" s="38">
        <f>14384/31*28</f>
        <v>12992</v>
      </c>
      <c r="X12" s="38">
        <f>1798/31*28</f>
        <v>1624</v>
      </c>
      <c r="Y12" s="38">
        <f>1240/31*28</f>
        <v>1120</v>
      </c>
      <c r="Z12" s="38"/>
      <c r="AA12" s="38">
        <f>5580/31*28</f>
        <v>5040</v>
      </c>
      <c r="AB12" s="38">
        <f>12183/31*28</f>
        <v>11004</v>
      </c>
      <c r="AC12" s="38">
        <f>403/31*28</f>
        <v>364</v>
      </c>
      <c r="AD12" s="38">
        <v>6888</v>
      </c>
      <c r="AE12" s="38">
        <f>1859/31*28</f>
        <v>1679.0967741935483</v>
      </c>
      <c r="AF12" s="38">
        <v>1372</v>
      </c>
      <c r="AG12" s="38">
        <v>5012</v>
      </c>
      <c r="AH12" s="38">
        <f>1054/31*28</f>
        <v>952</v>
      </c>
      <c r="AI12" s="19">
        <f>SUM(B12:AH12)</f>
        <v>84269.161290322576</v>
      </c>
      <c r="AJ12">
        <f>+AA12+R12+W12+AB12+AD12+T12+AG12</f>
        <v>54264</v>
      </c>
      <c r="AK12" s="20">
        <f>+C12+H12+N12+Q12+S12+Y12+D12+X12+AE12+E12</f>
        <v>19123.096774193549</v>
      </c>
      <c r="AL12">
        <f>+B12+P12+AC12+AH12+AF12+K12+L12+V12+U12+Z12+M12+J12+G12+F12+I12+O12</f>
        <v>10882.064516129032</v>
      </c>
      <c r="AM12">
        <f>+Q12+V12+Y12+AH12+N12+H12+E12</f>
        <v>12880</v>
      </c>
      <c r="AN12" s="20">
        <f>+B12+C12+J12+K12+L12+P12+R12+S12+W12+AA12+AB12+AC12+AD12+AF12+T12+D12+AG12+X12+M12+F12+AE12</f>
        <v>69317.161290322576</v>
      </c>
      <c r="AO12" s="20">
        <f>+Z12+U12+G12+I12+O12</f>
        <v>2072</v>
      </c>
      <c r="AP12">
        <f>+AJ12+AK12+AL12</f>
        <v>84269.161290322576</v>
      </c>
      <c r="AQ12">
        <f>+AJ12+AK12+AL12</f>
        <v>84269.161290322576</v>
      </c>
      <c r="AR12">
        <f>+AO12+AN12+AM12</f>
        <v>84269.161290322576</v>
      </c>
    </row>
    <row r="13" spans="1:44" x14ac:dyDescent="0.2">
      <c r="A13" t="s">
        <v>2</v>
      </c>
      <c r="B13" s="38">
        <v>207</v>
      </c>
      <c r="C13" s="38">
        <f>+C12*0.72</f>
        <v>1068.48</v>
      </c>
      <c r="D13" s="38"/>
      <c r="E13" s="38">
        <f>+E12*0.86</f>
        <v>2624.72</v>
      </c>
      <c r="F13" s="38">
        <v>415</v>
      </c>
      <c r="G13" s="38">
        <v>235</v>
      </c>
      <c r="H13" s="38">
        <v>1823</v>
      </c>
      <c r="I13" s="38"/>
      <c r="J13" s="38">
        <f>+J12*0.91</f>
        <v>1468.7987096774195</v>
      </c>
      <c r="K13" s="38">
        <v>953</v>
      </c>
      <c r="L13" s="38">
        <f>+L12*0.8</f>
        <v>560</v>
      </c>
      <c r="M13" s="38">
        <v>199</v>
      </c>
      <c r="N13" s="38">
        <f>+N12*0.777</f>
        <v>1566.432</v>
      </c>
      <c r="O13" s="38">
        <v>222</v>
      </c>
      <c r="P13" s="38">
        <v>454</v>
      </c>
      <c r="Q13" s="38">
        <v>2613</v>
      </c>
      <c r="R13" s="38">
        <v>723</v>
      </c>
      <c r="S13" s="38">
        <f>+S12*0.634</f>
        <v>1970.472</v>
      </c>
      <c r="T13" s="38">
        <v>4375</v>
      </c>
      <c r="U13" s="38">
        <v>416</v>
      </c>
      <c r="V13" s="38">
        <f>+V12*0.85</f>
        <v>595</v>
      </c>
      <c r="W13" s="38">
        <f>+W12*0.77</f>
        <v>10003.84</v>
      </c>
      <c r="X13" s="38">
        <f>+X12*0.78</f>
        <v>1266.72</v>
      </c>
      <c r="Y13" s="38">
        <f>+Y12*0.884</f>
        <v>990.08</v>
      </c>
      <c r="Z13" s="38"/>
      <c r="AA13" s="38">
        <v>4357</v>
      </c>
      <c r="AB13" s="38">
        <v>10278</v>
      </c>
      <c r="AC13" s="38">
        <v>332</v>
      </c>
      <c r="AD13" s="38">
        <v>6771</v>
      </c>
      <c r="AE13" s="38">
        <f>+AE12*0.701</f>
        <v>1177.0468387096773</v>
      </c>
      <c r="AF13" s="38">
        <v>1038</v>
      </c>
      <c r="AG13" s="38">
        <v>4794</v>
      </c>
      <c r="AH13" s="38">
        <v>868</v>
      </c>
      <c r="AI13" s="19">
        <f>SUM(B13:AH13)</f>
        <v>64364.589548387099</v>
      </c>
      <c r="AJ13">
        <f>+AA13+R13+W13+AB13+AD13+T13+AG13</f>
        <v>41301.839999999997</v>
      </c>
      <c r="AK13" s="20">
        <f>+C13+H13+N13+Q13+S13+Y13+D13+X13+AE13+E13</f>
        <v>15099.950838709676</v>
      </c>
      <c r="AL13">
        <f>+B13+P13+AC13+AH13+AF13+K13+L13+V13+U13+Z13+M13+J13+G13+F13+I13+O13</f>
        <v>7962.7987096774195</v>
      </c>
      <c r="AM13">
        <f>+Q13+V13+Y13+AH13+N13+H13+E13</f>
        <v>11080.231999999998</v>
      </c>
      <c r="AN13" s="20">
        <f>+B13+C13+J13+K13+L13+P13+R13+S13+W13+AA13+AB13+AC13+AD13+AF13+T13+D13+AG13+X13+M13+F13+AE13</f>
        <v>52411.357548387095</v>
      </c>
      <c r="AO13" s="20">
        <f>+Z13+U13+G13+I13+O13</f>
        <v>873</v>
      </c>
      <c r="AP13">
        <f>+AJ13+AK13+AL13</f>
        <v>64364.589548387085</v>
      </c>
    </row>
    <row r="14" spans="1:44" x14ac:dyDescent="0.2">
      <c r="A14" t="s">
        <v>4</v>
      </c>
      <c r="B14" s="3">
        <f>+B13/B12</f>
        <v>0.4107142857142857</v>
      </c>
      <c r="C14" s="3">
        <f>+C13/C12</f>
        <v>0.72</v>
      </c>
      <c r="D14" s="3"/>
      <c r="E14" s="3">
        <f t="shared" ref="E14:Y14" si="2">+E13/E12</f>
        <v>0.86</v>
      </c>
      <c r="F14" s="3">
        <f t="shared" si="2"/>
        <v>0.87184873949579833</v>
      </c>
      <c r="G14" s="3">
        <f t="shared" si="2"/>
        <v>0.59948979591836737</v>
      </c>
      <c r="H14" s="3">
        <f t="shared" si="2"/>
        <v>0.79398954703832758</v>
      </c>
      <c r="I14" s="3"/>
      <c r="J14" s="3">
        <f t="shared" si="2"/>
        <v>0.91</v>
      </c>
      <c r="K14" s="3">
        <f t="shared" si="2"/>
        <v>0.89567669172932329</v>
      </c>
      <c r="L14" s="3">
        <f t="shared" si="2"/>
        <v>0.8</v>
      </c>
      <c r="M14" s="3">
        <f t="shared" si="2"/>
        <v>0.50765306122448983</v>
      </c>
      <c r="N14" s="3">
        <f t="shared" si="2"/>
        <v>0.77700000000000002</v>
      </c>
      <c r="O14" s="3">
        <f t="shared" si="2"/>
        <v>0.56632653061224492</v>
      </c>
      <c r="P14" s="3">
        <f t="shared" si="2"/>
        <v>0.67559523809523814</v>
      </c>
      <c r="Q14" s="3">
        <f t="shared" si="2"/>
        <v>0.95225947521865895</v>
      </c>
      <c r="R14" s="3">
        <f t="shared" si="2"/>
        <v>9.707303974221268E-2</v>
      </c>
      <c r="S14" s="3">
        <f t="shared" si="2"/>
        <v>0.63400000000000001</v>
      </c>
      <c r="T14" s="3">
        <f t="shared" si="2"/>
        <v>0.74404761904761907</v>
      </c>
      <c r="U14" s="3">
        <f t="shared" si="2"/>
        <v>0.32298136645962733</v>
      </c>
      <c r="V14" s="3">
        <f t="shared" si="2"/>
        <v>0.85</v>
      </c>
      <c r="W14" s="3">
        <f t="shared" si="2"/>
        <v>0.77</v>
      </c>
      <c r="X14" s="3">
        <f t="shared" si="2"/>
        <v>0.78</v>
      </c>
      <c r="Y14" s="3">
        <f t="shared" si="2"/>
        <v>0.88400000000000001</v>
      </c>
      <c r="Z14" s="3"/>
      <c r="AA14" s="3">
        <f t="shared" ref="AA14:AO14" si="3">+AA13/AA12</f>
        <v>0.86448412698412702</v>
      </c>
      <c r="AB14" s="3">
        <f t="shared" si="3"/>
        <v>0.93402399127589963</v>
      </c>
      <c r="AC14" s="3">
        <f t="shared" si="3"/>
        <v>0.91208791208791207</v>
      </c>
      <c r="AD14" s="3">
        <f t="shared" si="3"/>
        <v>0.98301393728222997</v>
      </c>
      <c r="AE14" s="3">
        <f t="shared" si="3"/>
        <v>0.70099999999999996</v>
      </c>
      <c r="AF14" s="3">
        <f t="shared" si="3"/>
        <v>0.7565597667638484</v>
      </c>
      <c r="AG14" s="3">
        <f t="shared" si="3"/>
        <v>0.95650438946528327</v>
      </c>
      <c r="AH14" s="3">
        <f t="shared" si="3"/>
        <v>0.91176470588235292</v>
      </c>
      <c r="AI14" s="6">
        <f t="shared" si="3"/>
        <v>0.7637976759569185</v>
      </c>
      <c r="AJ14" s="3">
        <f t="shared" si="3"/>
        <v>0.7611278195488721</v>
      </c>
      <c r="AK14" s="3">
        <f t="shared" si="3"/>
        <v>0.78961849207848633</v>
      </c>
      <c r="AL14" s="3">
        <f t="shared" si="3"/>
        <v>0.73173603206222726</v>
      </c>
      <c r="AM14" s="3">
        <f t="shared" si="3"/>
        <v>0.86026645962732906</v>
      </c>
      <c r="AN14" s="3">
        <f t="shared" si="3"/>
        <v>0.75610940455093745</v>
      </c>
      <c r="AO14" s="3">
        <f t="shared" si="3"/>
        <v>0.42133204633204635</v>
      </c>
    </row>
    <row r="15" spans="1:44" x14ac:dyDescent="0.2">
      <c r="A15" s="20"/>
      <c r="B15" s="20">
        <v>1</v>
      </c>
      <c r="C15" s="20">
        <v>1</v>
      </c>
      <c r="D15" s="20"/>
      <c r="E15" s="20">
        <v>1</v>
      </c>
      <c r="F15" s="20">
        <v>1</v>
      </c>
      <c r="G15" s="20">
        <v>1</v>
      </c>
      <c r="H15" s="20">
        <v>1</v>
      </c>
      <c r="I15" s="20"/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/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19">
        <f>SUM(B15:AH15)</f>
        <v>30</v>
      </c>
      <c r="AJ15" s="20">
        <f>+AA15+R15+W15+AB15+AD15+T15+AG15</f>
        <v>7</v>
      </c>
      <c r="AK15" s="20">
        <f>+C15+H15+N15+Q15+S15+Y15+D15+X15+AE15+E15</f>
        <v>9</v>
      </c>
      <c r="AL15" s="20">
        <f>+B15+P15+AC15+AH15+AF15+K15+L15+V15+U15+Z15+M15+J15+G15+F15+I15+O15</f>
        <v>14</v>
      </c>
      <c r="AM15" s="20">
        <f>+Q15+V15+Y15+AH15+N15+H15+E15</f>
        <v>7</v>
      </c>
      <c r="AN15" s="20">
        <f>+B15+C15+J15+K15+L15+P15+R15+S15+W15+AA15+AB15+AC15+AD15+AF15+T15+D15+AG15+X15+M15+F15+AE15</f>
        <v>20</v>
      </c>
      <c r="AO15" s="20">
        <f>+Z15+U15+G15+I15+O15</f>
        <v>3</v>
      </c>
    </row>
    <row r="16" spans="1:44" x14ac:dyDescent="0.2">
      <c r="H16" t="s">
        <v>15</v>
      </c>
      <c r="AH16" t="s">
        <v>15</v>
      </c>
    </row>
    <row r="17" spans="1:46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"/>
      <c r="AA17" s="1"/>
      <c r="AB17" s="1"/>
      <c r="AC17" s="1"/>
      <c r="AD17" s="1"/>
      <c r="AE17" s="1"/>
      <c r="AI17" s="5"/>
    </row>
    <row r="18" spans="1:46" x14ac:dyDescent="0.2">
      <c r="A18" t="s">
        <v>1</v>
      </c>
      <c r="B18" s="38">
        <f>18*31</f>
        <v>558</v>
      </c>
      <c r="C18" s="38">
        <v>1643</v>
      </c>
      <c r="D18" s="38"/>
      <c r="E18" s="38">
        <v>3379</v>
      </c>
      <c r="F18" s="38">
        <v>527</v>
      </c>
      <c r="G18" s="38">
        <v>434</v>
      </c>
      <c r="H18" s="38">
        <v>2542</v>
      </c>
      <c r="I18" s="38"/>
      <c r="J18" s="38">
        <v>1787</v>
      </c>
      <c r="K18" s="38">
        <v>1178</v>
      </c>
      <c r="L18" s="38">
        <v>775</v>
      </c>
      <c r="M18" s="38">
        <f>14*31</f>
        <v>434</v>
      </c>
      <c r="N18" s="38">
        <v>2232</v>
      </c>
      <c r="O18" s="38">
        <v>434</v>
      </c>
      <c r="P18" s="38">
        <v>713</v>
      </c>
      <c r="Q18" s="38">
        <v>3038</v>
      </c>
      <c r="R18" s="38">
        <v>8246</v>
      </c>
      <c r="S18" s="38">
        <v>3441</v>
      </c>
      <c r="T18" s="38">
        <v>6510</v>
      </c>
      <c r="U18" s="38">
        <v>1426</v>
      </c>
      <c r="V18" s="38">
        <v>775</v>
      </c>
      <c r="W18" s="38">
        <v>14384</v>
      </c>
      <c r="X18" s="38">
        <v>1798</v>
      </c>
      <c r="Y18" s="38">
        <v>1240</v>
      </c>
      <c r="Z18" s="38"/>
      <c r="AA18" s="38">
        <v>5580</v>
      </c>
      <c r="AB18" s="38">
        <v>12183</v>
      </c>
      <c r="AC18" s="38">
        <f>13*31</f>
        <v>403</v>
      </c>
      <c r="AD18" s="38">
        <v>7629</v>
      </c>
      <c r="AE18" s="38">
        <v>1859</v>
      </c>
      <c r="AF18" s="38">
        <v>1519</v>
      </c>
      <c r="AG18" s="38">
        <v>5549</v>
      </c>
      <c r="AH18" s="38">
        <v>1054</v>
      </c>
      <c r="AI18" s="19">
        <f>SUM(B18:AH18)</f>
        <v>93270</v>
      </c>
      <c r="AJ18">
        <f>+AA18+R18+W18+AB18+AD18+T18+AG18</f>
        <v>60081</v>
      </c>
      <c r="AK18" s="20">
        <f>+C18+H18+N18+Q18+S18+Y18+D18+X18+AE18+E18</f>
        <v>21172</v>
      </c>
      <c r="AL18">
        <f>+B18+P18+AC18+AH18+AF18+K18+L18+V18+U18+Z18+M18+J18+G18+F18+I18+O18</f>
        <v>12017</v>
      </c>
      <c r="AM18">
        <f>+Q18+V18+Y18+AH18+N18+H18+E18</f>
        <v>14260</v>
      </c>
      <c r="AN18" s="20">
        <f>+B18+C18+J18+K18+L18+P18+R18+S18+W18+AA18+AB18+AC18+AD18+AF18+T18+D18+AG18+X18+M18+F18+AE18</f>
        <v>76716</v>
      </c>
      <c r="AO18" s="20">
        <f>+Z18+U18+G18+I18+O18</f>
        <v>2294</v>
      </c>
      <c r="AP18">
        <f>+AJ18+AK18+AL18</f>
        <v>93270</v>
      </c>
      <c r="AQ18">
        <f>+AJ18+AK18+AL18</f>
        <v>93270</v>
      </c>
      <c r="AT18">
        <f>+AI6+AI12+AI18</f>
        <v>271029.6085910938</v>
      </c>
    </row>
    <row r="19" spans="1:46" x14ac:dyDescent="0.2">
      <c r="A19" t="s">
        <v>2</v>
      </c>
      <c r="B19" s="38">
        <v>309</v>
      </c>
      <c r="C19" s="38">
        <v>936</v>
      </c>
      <c r="D19" s="38"/>
      <c r="E19" s="38">
        <f>+E18*0.77</f>
        <v>2601.83</v>
      </c>
      <c r="F19" s="38">
        <v>469</v>
      </c>
      <c r="G19" s="38">
        <v>144</v>
      </c>
      <c r="H19" s="38">
        <v>2110</v>
      </c>
      <c r="I19" s="38"/>
      <c r="J19" s="38">
        <f>+J18*0.95</f>
        <v>1697.6499999999999</v>
      </c>
      <c r="K19" s="38">
        <v>1006</v>
      </c>
      <c r="L19" s="38">
        <f>+L18*0.8</f>
        <v>620</v>
      </c>
      <c r="M19" s="38">
        <f>+M18*0.2512</f>
        <v>109.02079999999999</v>
      </c>
      <c r="N19" s="38">
        <f>+N18*0.674</f>
        <v>1504.3680000000002</v>
      </c>
      <c r="O19" s="38">
        <v>251</v>
      </c>
      <c r="P19" s="38">
        <v>209</v>
      </c>
      <c r="Q19" s="38">
        <v>2794</v>
      </c>
      <c r="R19" s="38">
        <v>544</v>
      </c>
      <c r="S19" s="38">
        <f>+S18*0.511</f>
        <v>1758.3510000000001</v>
      </c>
      <c r="T19" s="38">
        <f>+T18*0.514</f>
        <v>3346.14</v>
      </c>
      <c r="U19" s="38">
        <v>471</v>
      </c>
      <c r="V19" s="38">
        <f>+V18*0.75</f>
        <v>581.25</v>
      </c>
      <c r="W19" s="38">
        <v>9913</v>
      </c>
      <c r="X19" s="38">
        <f>+X18*0.72</f>
        <v>1294.56</v>
      </c>
      <c r="Y19" s="38">
        <f>+Y18*0.858</f>
        <v>1063.92</v>
      </c>
      <c r="Z19" s="38"/>
      <c r="AA19" s="38">
        <v>5066</v>
      </c>
      <c r="AB19" s="38">
        <v>11562</v>
      </c>
      <c r="AC19" s="38">
        <v>280</v>
      </c>
      <c r="AD19" s="38">
        <v>7368</v>
      </c>
      <c r="AE19" s="38">
        <f>+AE18*0.527</f>
        <v>979.6930000000001</v>
      </c>
      <c r="AF19" s="38">
        <v>1100</v>
      </c>
      <c r="AG19" s="38">
        <v>5408</v>
      </c>
      <c r="AH19" s="38">
        <v>902</v>
      </c>
      <c r="AI19" s="19">
        <f>SUM(B19:AH19)</f>
        <v>66398.782800000001</v>
      </c>
      <c r="AJ19">
        <f>+AA19+R19+W19+AB19+AD19+T19+AG19</f>
        <v>43207.14</v>
      </c>
      <c r="AK19" s="20">
        <f>+C19+H19+N19+Q19+S19+Y19+D19+X19+AE19+E19</f>
        <v>15042.722</v>
      </c>
      <c r="AL19">
        <f>+B19+P19+AC19+AH19+AF19+K19+L19+V19+U19+Z19+M19+J19+G19+F19+I19+O19</f>
        <v>8148.9207999999999</v>
      </c>
      <c r="AM19">
        <f>+Q19+V19+Y19+AH19+N19+H19+E19</f>
        <v>11557.368</v>
      </c>
      <c r="AN19" s="20">
        <f>+B19+C19+J19+K19+L19+P19+R19+S19+W19+AA19+AB19+AC19+AD19+AF19+T19+D19+AG19+X19+M19+F19+AE19</f>
        <v>53975.414799999999</v>
      </c>
      <c r="AO19" s="20">
        <f>+Z19+U19+G19+I19+O19</f>
        <v>866</v>
      </c>
      <c r="AP19">
        <f>+AJ19+AK19+AL19</f>
        <v>66398.782800000001</v>
      </c>
      <c r="AQ19">
        <f>+AJ19+AK19+AL19</f>
        <v>66398.782800000001</v>
      </c>
      <c r="AT19">
        <f>+AI7+AI13+AI19</f>
        <v>193701.3377483871</v>
      </c>
    </row>
    <row r="20" spans="1:46" x14ac:dyDescent="0.2">
      <c r="A20" t="s">
        <v>4</v>
      </c>
      <c r="B20" s="3">
        <f>+B19/B18</f>
        <v>0.55376344086021501</v>
      </c>
      <c r="C20" s="3">
        <f>+C19/C18</f>
        <v>0.5696895922093731</v>
      </c>
      <c r="D20" s="3"/>
      <c r="E20" s="3">
        <f>+E19/E18</f>
        <v>0.77</v>
      </c>
      <c r="F20" s="3">
        <f>+F19/F18</f>
        <v>0.88994307400379502</v>
      </c>
      <c r="G20" s="3">
        <f t="shared" ref="G20:Y20" si="4">+G19/G18</f>
        <v>0.33179723502304148</v>
      </c>
      <c r="H20" s="3">
        <f t="shared" si="4"/>
        <v>0.83005507474429585</v>
      </c>
      <c r="I20" s="3"/>
      <c r="J20" s="3">
        <f t="shared" si="4"/>
        <v>0.95</v>
      </c>
      <c r="K20" s="3">
        <f t="shared" si="4"/>
        <v>0.85398981324278433</v>
      </c>
      <c r="L20" s="3">
        <f t="shared" si="4"/>
        <v>0.8</v>
      </c>
      <c r="M20" s="3">
        <f t="shared" si="4"/>
        <v>0.25119999999999998</v>
      </c>
      <c r="N20" s="3">
        <f t="shared" si="4"/>
        <v>0.67400000000000004</v>
      </c>
      <c r="O20" s="3">
        <f t="shared" si="4"/>
        <v>0.57834101382488479</v>
      </c>
      <c r="P20" s="3">
        <f t="shared" si="4"/>
        <v>0.29312762973352036</v>
      </c>
      <c r="Q20" s="3">
        <f t="shared" si="4"/>
        <v>0.9196840026333114</v>
      </c>
      <c r="R20" s="3">
        <f t="shared" si="4"/>
        <v>6.5971380063060872E-2</v>
      </c>
      <c r="S20" s="3">
        <f t="shared" si="4"/>
        <v>0.51100000000000001</v>
      </c>
      <c r="T20" s="3">
        <f t="shared" si="4"/>
        <v>0.51400000000000001</v>
      </c>
      <c r="U20" s="3">
        <f t="shared" si="4"/>
        <v>0.33029453015427768</v>
      </c>
      <c r="V20" s="3">
        <f t="shared" si="4"/>
        <v>0.75</v>
      </c>
      <c r="W20" s="3">
        <f t="shared" si="4"/>
        <v>0.68916852057842048</v>
      </c>
      <c r="X20" s="3">
        <f t="shared" si="4"/>
        <v>0.72</v>
      </c>
      <c r="Y20" s="3">
        <f t="shared" si="4"/>
        <v>0.8580000000000001</v>
      </c>
      <c r="Z20" s="38"/>
      <c r="AA20" s="3">
        <f t="shared" ref="AA20:AO20" si="5">+AA19/AA18</f>
        <v>0.90788530465949824</v>
      </c>
      <c r="AB20" s="3">
        <f t="shared" si="5"/>
        <v>0.94902733316917021</v>
      </c>
      <c r="AC20" s="3">
        <f t="shared" si="5"/>
        <v>0.69478908188585609</v>
      </c>
      <c r="AD20" s="3">
        <f t="shared" si="5"/>
        <v>0.96578843885174992</v>
      </c>
      <c r="AE20" s="3">
        <f t="shared" si="5"/>
        <v>0.52700000000000002</v>
      </c>
      <c r="AF20" s="3">
        <f t="shared" si="5"/>
        <v>0.72416063199473335</v>
      </c>
      <c r="AG20" s="3">
        <f t="shared" si="5"/>
        <v>0.97459001621913854</v>
      </c>
      <c r="AH20" s="3">
        <f t="shared" si="5"/>
        <v>0.85578747628083496</v>
      </c>
      <c r="AI20" s="6">
        <f t="shared" si="5"/>
        <v>0.71189860405275007</v>
      </c>
      <c r="AJ20" s="3">
        <f t="shared" si="5"/>
        <v>0.71914814999750332</v>
      </c>
      <c r="AK20" s="3">
        <f t="shared" si="5"/>
        <v>0.71050075571509541</v>
      </c>
      <c r="AL20" s="3">
        <f t="shared" si="5"/>
        <v>0.67811606890238829</v>
      </c>
      <c r="AM20" s="3">
        <f t="shared" si="5"/>
        <v>0.81047461430575041</v>
      </c>
      <c r="AN20" s="3">
        <f t="shared" si="5"/>
        <v>0.70357441472443816</v>
      </c>
      <c r="AO20" s="3">
        <f t="shared" si="5"/>
        <v>0.37750653879686136</v>
      </c>
      <c r="AT20">
        <f>+AT19/AT18</f>
        <v>0.71468699953231696</v>
      </c>
    </row>
    <row r="21" spans="1:46" x14ac:dyDescent="0.2">
      <c r="A21" s="20"/>
      <c r="B21" s="20">
        <v>1</v>
      </c>
      <c r="C21" s="20">
        <v>1</v>
      </c>
      <c r="D21" s="20"/>
      <c r="E21" s="20">
        <v>1</v>
      </c>
      <c r="F21" s="20">
        <v>1</v>
      </c>
      <c r="G21" s="20">
        <v>1</v>
      </c>
      <c r="H21" s="20">
        <v>1</v>
      </c>
      <c r="I21" s="20"/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38"/>
      <c r="AA21" s="20">
        <v>1</v>
      </c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19">
        <f>SUM(B21:AH21)</f>
        <v>30</v>
      </c>
      <c r="AJ21" s="20">
        <f>+AA21+R21+W21+AB21+AD21+T21+AG21</f>
        <v>7</v>
      </c>
      <c r="AK21" s="20">
        <f>+C21+H21+N21+Q21+S21+Y21+D21+X21+AE21+E21</f>
        <v>9</v>
      </c>
      <c r="AL21" s="20">
        <f>+B21+P21+AC21+AH21+AF21+K21+L21+V21+U21+Z21+M21+J21+G21+F21+I21+O21</f>
        <v>14</v>
      </c>
      <c r="AM21" s="20">
        <f>+Q21+V21+Y21+AH21+N21+H21+E21</f>
        <v>7</v>
      </c>
      <c r="AN21" s="20">
        <f>+B21+C21+J21+K21+L21+P21+R21+S21+W21+AA21+AB21+AC21+AD21+AF21+T21+D21+AG21+X21+M21+F21+AE21</f>
        <v>20</v>
      </c>
      <c r="AO21" s="20">
        <f>+Z21+U21+G21+I21+O21</f>
        <v>3</v>
      </c>
    </row>
    <row r="22" spans="1:46" x14ac:dyDescent="0.2">
      <c r="B22" s="38"/>
    </row>
    <row r="23" spans="1:46" x14ac:dyDescent="0.2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A23" s="1"/>
      <c r="AB23" s="1"/>
      <c r="AC23" s="1"/>
      <c r="AD23" s="1"/>
      <c r="AE23" s="1"/>
      <c r="AI23" s="5"/>
    </row>
    <row r="24" spans="1:46" x14ac:dyDescent="0.2">
      <c r="A24" t="s">
        <v>1</v>
      </c>
      <c r="B24" s="38">
        <f>18*30</f>
        <v>540</v>
      </c>
      <c r="C24" s="38">
        <f>1643/31*30</f>
        <v>1590</v>
      </c>
      <c r="D24" s="38"/>
      <c r="E24" s="38">
        <f>3379/31*30</f>
        <v>3270</v>
      </c>
      <c r="F24" s="38">
        <f>527/31*30</f>
        <v>510</v>
      </c>
      <c r="G24" s="38">
        <f>434/31*30</f>
        <v>420</v>
      </c>
      <c r="H24" s="38">
        <f>2542/31*30</f>
        <v>2460</v>
      </c>
      <c r="I24" s="38"/>
      <c r="J24" s="38">
        <f>1787/31*30</f>
        <v>1729.3548387096776</v>
      </c>
      <c r="K24" s="38">
        <f>1178/31*30</f>
        <v>1140</v>
      </c>
      <c r="L24" s="38">
        <f>775/31*30</f>
        <v>750</v>
      </c>
      <c r="M24" s="38">
        <f>434/31*30</f>
        <v>420</v>
      </c>
      <c r="N24" s="38">
        <f>2232/31*30</f>
        <v>2160</v>
      </c>
      <c r="O24" s="38">
        <f>434/31*30</f>
        <v>420</v>
      </c>
      <c r="P24" s="38">
        <f>713/31*30</f>
        <v>690</v>
      </c>
      <c r="Q24" s="38">
        <v>2940</v>
      </c>
      <c r="R24" s="38">
        <f>8246/31*30</f>
        <v>7980</v>
      </c>
      <c r="S24" s="38">
        <f>3441/31*30</f>
        <v>3330</v>
      </c>
      <c r="T24" s="38">
        <f>6510/31*30</f>
        <v>6300</v>
      </c>
      <c r="U24" s="38">
        <f>1426/31*30</f>
        <v>1380</v>
      </c>
      <c r="V24" s="38">
        <f>775/31*30</f>
        <v>750</v>
      </c>
      <c r="W24" s="38">
        <v>13920</v>
      </c>
      <c r="X24" s="38">
        <f>1798*30/31</f>
        <v>1740</v>
      </c>
      <c r="Y24" s="38">
        <f>1240/31*30</f>
        <v>1200</v>
      </c>
      <c r="Z24" s="38"/>
      <c r="AA24" s="38">
        <f>5580/31*30</f>
        <v>5400</v>
      </c>
      <c r="AB24" s="38">
        <f>12183/31*30</f>
        <v>11790</v>
      </c>
      <c r="AC24" s="38">
        <f>13*30</f>
        <v>390</v>
      </c>
      <c r="AD24" s="38">
        <v>7380</v>
      </c>
      <c r="AE24" s="38">
        <f>1859/31*30</f>
        <v>1799.0322580645161</v>
      </c>
      <c r="AF24" s="38">
        <f>1519/31*30</f>
        <v>1470</v>
      </c>
      <c r="AG24" s="38">
        <v>5370</v>
      </c>
      <c r="AH24" s="38">
        <v>1020</v>
      </c>
      <c r="AI24" s="19">
        <f>SUM(B24:AH24)</f>
        <v>90258.387096774197</v>
      </c>
      <c r="AJ24">
        <f>+AA24+R24+W24+AB24+AD24+T24+AG24</f>
        <v>58140</v>
      </c>
      <c r="AK24" s="20">
        <f>+C24+H24+N24+Q24+S24+Y24+D24+X24+AE24+E24</f>
        <v>20489.032258064515</v>
      </c>
      <c r="AL24">
        <f>+B24+P24+AC24+AH24+AF24+K24+L24+V24+U24+Z24+M24+J24+G24+F24+I24+O24</f>
        <v>11629.354838709678</v>
      </c>
      <c r="AM24">
        <f>+Q24+V24+Y24+AH24+N24+H24+E24</f>
        <v>13800</v>
      </c>
      <c r="AN24" s="20">
        <f>+B24+C24+J24+K24+L24+P24+R24+S24+W24+AA24+AB24+AC24+AD24+AF24+T24+D24+AG24+X24+M24+F24+AE24</f>
        <v>74238.387096774197</v>
      </c>
      <c r="AO24" s="20">
        <f>+Z24+U24+G24+I24+O24</f>
        <v>2220</v>
      </c>
      <c r="AP24">
        <f>+AJ24+AK24+AL24</f>
        <v>90258.387096774197</v>
      </c>
      <c r="AQ24">
        <f>+AJ24+AK24+AL24</f>
        <v>90258.387096774197</v>
      </c>
    </row>
    <row r="25" spans="1:46" x14ac:dyDescent="0.2">
      <c r="A25" t="s">
        <v>2</v>
      </c>
      <c r="B25" s="38">
        <v>248</v>
      </c>
      <c r="C25" s="38">
        <v>493</v>
      </c>
      <c r="D25" s="38"/>
      <c r="E25" s="38">
        <f>+E24*0.58</f>
        <v>1896.6</v>
      </c>
      <c r="F25" s="38">
        <v>423</v>
      </c>
      <c r="G25" s="38">
        <v>136</v>
      </c>
      <c r="H25" s="38">
        <v>1813</v>
      </c>
      <c r="I25" s="38"/>
      <c r="J25" s="38">
        <f>+J24*0.89</f>
        <v>1539.125806451613</v>
      </c>
      <c r="K25" s="38">
        <v>926</v>
      </c>
      <c r="L25" s="38">
        <v>473</v>
      </c>
      <c r="M25" s="38">
        <f>+M24*0.4024</f>
        <v>169.00799999999998</v>
      </c>
      <c r="N25" s="38">
        <f>+N24*0.579</f>
        <v>1250.6399999999999</v>
      </c>
      <c r="O25" s="38">
        <f>+O24*0.386</f>
        <v>162.12</v>
      </c>
      <c r="P25" s="38">
        <v>99</v>
      </c>
      <c r="Q25" s="38">
        <v>2477</v>
      </c>
      <c r="R25" s="38">
        <v>567</v>
      </c>
      <c r="S25" s="38">
        <v>760</v>
      </c>
      <c r="T25" s="38">
        <f>+T24*0.432</f>
        <v>2721.6</v>
      </c>
      <c r="U25" s="38">
        <f>+U24*0.309</f>
        <v>426.42</v>
      </c>
      <c r="V25" s="38">
        <f>+V24*0.78</f>
        <v>585</v>
      </c>
      <c r="W25" s="38">
        <v>6531</v>
      </c>
      <c r="X25" s="38">
        <v>748</v>
      </c>
      <c r="Y25" s="38">
        <f>+Y24*0.837</f>
        <v>1004.4</v>
      </c>
      <c r="AA25" s="38">
        <f>+AA24*0.7876</f>
        <v>4253.04</v>
      </c>
      <c r="AB25" s="38">
        <v>10800</v>
      </c>
      <c r="AC25" s="38">
        <v>241</v>
      </c>
      <c r="AD25" s="38">
        <v>7011</v>
      </c>
      <c r="AE25" s="38">
        <f>+AE24*0.625</f>
        <v>1124.3951612903224</v>
      </c>
      <c r="AF25" s="38">
        <v>719</v>
      </c>
      <c r="AG25" s="38">
        <v>4974</v>
      </c>
      <c r="AH25" s="38">
        <v>548</v>
      </c>
      <c r="AI25" s="19">
        <f>SUM(B25:AH25)</f>
        <v>55119.348967741942</v>
      </c>
      <c r="AJ25">
        <f>+AA25+R25+W25+AB25+AD25+T25+AG25</f>
        <v>36857.64</v>
      </c>
      <c r="AK25" s="20">
        <f>+C25+H25+N25+Q25+S25+Y25+D25+X25+AE25+E25</f>
        <v>11567.035161290321</v>
      </c>
      <c r="AL25">
        <f>+B25+P25+AC25+AH25+AF25+K25+L25+V25+U25+Z25+M25+J25+G25+F25+I25+O25</f>
        <v>6694.673806451613</v>
      </c>
      <c r="AM25">
        <f>+Q25+V25+Y25+AH25+N25+H25+E25</f>
        <v>9574.64</v>
      </c>
      <c r="AN25" s="20">
        <f>+B25+C25+J25+K25+L25+P25+R25+S25+W25+AA25+AB25+AC25+AD25+AF25+T25+D25+AG25+X25+M25+F25+AE25</f>
        <v>44820.168967741934</v>
      </c>
      <c r="AO25" s="20">
        <f>+Z25+U25+G25+I25+O25</f>
        <v>724.54000000000008</v>
      </c>
      <c r="AP25">
        <f>+AJ25+AK25+AL25</f>
        <v>55119.348967741927</v>
      </c>
      <c r="AQ25">
        <f>+AJ25+AK25+AL25</f>
        <v>55119.348967741927</v>
      </c>
    </row>
    <row r="26" spans="1:46" x14ac:dyDescent="0.2">
      <c r="A26" t="s">
        <v>4</v>
      </c>
      <c r="B26" s="3">
        <f>+B25/B24</f>
        <v>0.45925925925925926</v>
      </c>
      <c r="C26" s="3">
        <f>+C25/C24</f>
        <v>0.31006289308176099</v>
      </c>
      <c r="D26" s="3"/>
      <c r="E26" s="3">
        <f>+E25/E24</f>
        <v>0.57999999999999996</v>
      </c>
      <c r="F26" s="3">
        <f>+F25/F24</f>
        <v>0.8294117647058824</v>
      </c>
      <c r="G26" s="3">
        <f t="shared" ref="G26:Y26" si="6">+G25/G24</f>
        <v>0.32380952380952382</v>
      </c>
      <c r="H26" s="3">
        <f t="shared" si="6"/>
        <v>0.73699186991869914</v>
      </c>
      <c r="I26" s="3"/>
      <c r="J26" s="3">
        <f t="shared" si="6"/>
        <v>0.89</v>
      </c>
      <c r="K26" s="3">
        <f t="shared" si="6"/>
        <v>0.81228070175438594</v>
      </c>
      <c r="L26" s="3">
        <f t="shared" si="6"/>
        <v>0.63066666666666671</v>
      </c>
      <c r="M26" s="3">
        <f t="shared" si="6"/>
        <v>0.40239999999999998</v>
      </c>
      <c r="N26" s="3">
        <f t="shared" si="6"/>
        <v>0.57899999999999996</v>
      </c>
      <c r="O26" s="3">
        <f t="shared" si="6"/>
        <v>0.38600000000000001</v>
      </c>
      <c r="P26" s="3">
        <f>+P25/P24</f>
        <v>0.14347826086956522</v>
      </c>
      <c r="Q26" s="3">
        <f t="shared" si="6"/>
        <v>0.84251700680272112</v>
      </c>
      <c r="R26" s="3">
        <f>+R25/R24</f>
        <v>7.1052631578947367E-2</v>
      </c>
      <c r="S26" s="3">
        <f t="shared" si="6"/>
        <v>0.22822822822822822</v>
      </c>
      <c r="T26" s="3">
        <f t="shared" si="6"/>
        <v>0.432</v>
      </c>
      <c r="U26" s="3">
        <f t="shared" si="6"/>
        <v>0.309</v>
      </c>
      <c r="V26" s="3">
        <f t="shared" si="6"/>
        <v>0.78</v>
      </c>
      <c r="W26" s="3">
        <f t="shared" si="6"/>
        <v>0.46918103448275861</v>
      </c>
      <c r="X26" s="3">
        <f t="shared" si="6"/>
        <v>0.42988505747126438</v>
      </c>
      <c r="Y26" s="3">
        <f t="shared" si="6"/>
        <v>0.83699999999999997</v>
      </c>
      <c r="AA26" s="3">
        <f t="shared" ref="AA26:AO26" si="7">+AA25/AA24</f>
        <v>0.78759999999999997</v>
      </c>
      <c r="AB26" s="3">
        <f t="shared" si="7"/>
        <v>0.91603053435114501</v>
      </c>
      <c r="AC26" s="3">
        <f t="shared" si="7"/>
        <v>0.61794871794871797</v>
      </c>
      <c r="AD26" s="3">
        <f t="shared" si="7"/>
        <v>0.95</v>
      </c>
      <c r="AE26" s="3">
        <f t="shared" si="7"/>
        <v>0.62499999999999989</v>
      </c>
      <c r="AF26" s="3">
        <f t="shared" si="7"/>
        <v>0.4891156462585034</v>
      </c>
      <c r="AG26" s="3">
        <f t="shared" si="7"/>
        <v>0.92625698324022343</v>
      </c>
      <c r="AH26" s="3">
        <f t="shared" si="7"/>
        <v>0.53725490196078429</v>
      </c>
      <c r="AI26" s="6">
        <f t="shared" si="7"/>
        <v>0.61068395681216303</v>
      </c>
      <c r="AJ26" s="3">
        <f t="shared" si="7"/>
        <v>0.63394633642930853</v>
      </c>
      <c r="AK26" s="3">
        <f t="shared" si="7"/>
        <v>0.56454765728320422</v>
      </c>
      <c r="AL26" s="3">
        <f t="shared" si="7"/>
        <v>0.57567026712157776</v>
      </c>
      <c r="AM26" s="3">
        <f t="shared" si="7"/>
        <v>0.69381449275362317</v>
      </c>
      <c r="AN26" s="3">
        <f t="shared" si="7"/>
        <v>0.60373306479996869</v>
      </c>
      <c r="AO26" s="3">
        <f t="shared" si="7"/>
        <v>0.32636936936936939</v>
      </c>
    </row>
    <row r="27" spans="1:46" x14ac:dyDescent="0.2">
      <c r="A27" s="20"/>
      <c r="B27" s="20">
        <v>1</v>
      </c>
      <c r="C27" s="20">
        <v>1</v>
      </c>
      <c r="D27" s="20"/>
      <c r="E27" s="20">
        <v>1</v>
      </c>
      <c r="F27" s="20">
        <v>1</v>
      </c>
      <c r="G27" s="20">
        <v>1</v>
      </c>
      <c r="H27" s="20">
        <v>1</v>
      </c>
      <c r="I27" s="20"/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19">
        <f>SUM(B27:AH27)</f>
        <v>30</v>
      </c>
      <c r="AJ27" s="20">
        <f>+AA27+R27+W27+AB27+AD27+T27+AG27</f>
        <v>7</v>
      </c>
      <c r="AK27" s="20">
        <f>+C27+H27+N27+Q27+S27+Y27+D27+X27+AE27+E27</f>
        <v>9</v>
      </c>
      <c r="AL27" s="20">
        <f>+B27+P27+AC27+AH27+AF27+K27+L27+V27+U27+Z27+M27+J27+G27+F27+I27+O27</f>
        <v>14</v>
      </c>
      <c r="AM27" s="20">
        <f>+Q27+V27+Y27+AH27+N27+H27+E27</f>
        <v>7</v>
      </c>
      <c r="AN27" s="20">
        <f>+B27+C27+J27+K27+L27+P27+R27+S27+W27+AA27+AB27+AC27+AD27+AF27+T27+D27+AG27+X27+M27+F27+AE27</f>
        <v>20</v>
      </c>
      <c r="AO27" s="20">
        <f>+Z27+U27+G27+I27+O27</f>
        <v>3</v>
      </c>
    </row>
    <row r="29" spans="1:46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A29" s="1"/>
      <c r="AB29" s="1"/>
      <c r="AC29" s="1"/>
      <c r="AD29" s="1"/>
      <c r="AE29" s="1"/>
      <c r="AI29" s="5"/>
    </row>
    <row r="30" spans="1:46" x14ac:dyDescent="0.2">
      <c r="A30" t="s">
        <v>1</v>
      </c>
      <c r="B30" s="38">
        <v>662</v>
      </c>
      <c r="C30" s="38">
        <v>1643</v>
      </c>
      <c r="D30" s="38"/>
      <c r="E30" s="38">
        <v>3379</v>
      </c>
      <c r="F30" s="38">
        <v>527</v>
      </c>
      <c r="G30" s="38">
        <v>434</v>
      </c>
      <c r="H30" s="38">
        <v>2542</v>
      </c>
      <c r="I30" s="38"/>
      <c r="J30" s="38">
        <v>1787</v>
      </c>
      <c r="K30" s="38">
        <v>1178</v>
      </c>
      <c r="L30" s="38">
        <v>775</v>
      </c>
      <c r="M30" s="38">
        <v>434</v>
      </c>
      <c r="N30" s="38">
        <v>2232</v>
      </c>
      <c r="O30" s="38">
        <v>434</v>
      </c>
      <c r="P30" s="38">
        <v>55</v>
      </c>
      <c r="Q30" s="38">
        <v>3038</v>
      </c>
      <c r="R30" s="38">
        <v>8246</v>
      </c>
      <c r="S30" s="38">
        <v>3441</v>
      </c>
      <c r="T30" s="38">
        <f>6510*12/31</f>
        <v>2520</v>
      </c>
      <c r="U30" s="38">
        <v>1426</v>
      </c>
      <c r="V30" s="38">
        <v>775</v>
      </c>
      <c r="W30" s="38">
        <v>14384</v>
      </c>
      <c r="X30" s="38">
        <v>1798</v>
      </c>
      <c r="Y30" s="38">
        <v>1240</v>
      </c>
      <c r="Z30" s="38"/>
      <c r="AA30" s="38">
        <v>5580</v>
      </c>
      <c r="AB30" s="38">
        <v>12183</v>
      </c>
      <c r="AC30" s="38">
        <v>403</v>
      </c>
      <c r="AD30" s="38">
        <v>7162</v>
      </c>
      <c r="AE30" s="38">
        <v>1859</v>
      </c>
      <c r="AF30" s="38">
        <v>1519</v>
      </c>
      <c r="AG30" s="38">
        <v>5549</v>
      </c>
      <c r="AH30" s="38">
        <v>1054</v>
      </c>
      <c r="AI30" s="19">
        <f>SUM(B30:AH30)</f>
        <v>88259</v>
      </c>
      <c r="AJ30">
        <f>+AA30+R30+W30+AB30+AD30+T30+AG30</f>
        <v>55624</v>
      </c>
      <c r="AK30" s="20">
        <f>+C30+H30+N30+Q30+S30+Y30+D30+X30+AE30+E30</f>
        <v>21172</v>
      </c>
      <c r="AL30">
        <f>+B30+P30+AC30+AH30+AF30+K30+L30+V30+U30+Z30+M30+J30+G30+F30+I30+O30</f>
        <v>11463</v>
      </c>
      <c r="AM30">
        <f>+Q30+V30+Y30+AH30+N30+H30+E30</f>
        <v>14260</v>
      </c>
      <c r="AN30" s="20">
        <f>+B30+C30+J30+K30+L30+P30+R30+S30+W30+AA30+AB30+AC30+AD30+AF30+T30+D30+AG30+X30+M30+F30+AE30</f>
        <v>71705</v>
      </c>
      <c r="AO30" s="20">
        <f>+Z30+U30+G30+I30+O30</f>
        <v>2294</v>
      </c>
      <c r="AP30">
        <f>+AJ30+AK30+AL30</f>
        <v>88259</v>
      </c>
      <c r="AQ30">
        <f>+AJ30+AK30+AL30</f>
        <v>88259</v>
      </c>
    </row>
    <row r="31" spans="1:46" x14ac:dyDescent="0.2">
      <c r="A31" t="s">
        <v>2</v>
      </c>
      <c r="B31" s="45">
        <v>182</v>
      </c>
      <c r="C31" s="45">
        <v>280</v>
      </c>
      <c r="D31" s="45"/>
      <c r="E31" s="45">
        <v>2264</v>
      </c>
      <c r="F31" s="45">
        <v>320</v>
      </c>
      <c r="G31" s="45">
        <v>52</v>
      </c>
      <c r="H31" s="45">
        <v>1139</v>
      </c>
      <c r="I31" s="45"/>
      <c r="J31" s="45">
        <v>1537</v>
      </c>
      <c r="K31" s="45">
        <v>880</v>
      </c>
      <c r="L31" s="45">
        <v>628</v>
      </c>
      <c r="M31" s="45">
        <f>+M30*0.272</f>
        <v>118.048</v>
      </c>
      <c r="N31" s="45">
        <v>670</v>
      </c>
      <c r="O31" s="45">
        <v>153</v>
      </c>
      <c r="P31" s="45">
        <v>9</v>
      </c>
      <c r="Q31" s="45">
        <v>2419</v>
      </c>
      <c r="R31" s="45">
        <v>792</v>
      </c>
      <c r="S31" s="45">
        <v>902</v>
      </c>
      <c r="T31" s="45">
        <v>242</v>
      </c>
      <c r="U31" s="45">
        <v>428</v>
      </c>
      <c r="V31" s="45">
        <v>543</v>
      </c>
      <c r="W31" s="45">
        <v>3770</v>
      </c>
      <c r="X31" s="45">
        <v>557</v>
      </c>
      <c r="Y31" s="45">
        <v>662</v>
      </c>
      <c r="Z31" s="45"/>
      <c r="AA31" s="45">
        <v>2812</v>
      </c>
      <c r="AB31" s="45">
        <v>9515</v>
      </c>
      <c r="AC31" s="45">
        <v>217</v>
      </c>
      <c r="AD31" s="45">
        <v>6458</v>
      </c>
      <c r="AE31" s="45">
        <v>656</v>
      </c>
      <c r="AF31" s="45">
        <v>800</v>
      </c>
      <c r="AG31" s="45">
        <v>4408</v>
      </c>
      <c r="AH31" s="45">
        <v>538</v>
      </c>
      <c r="AI31" s="19">
        <f>SUM(B31:AH31)</f>
        <v>43951.047999999995</v>
      </c>
      <c r="AJ31">
        <f>+AA31+R31+W31+AB31+AD31+T31+AG31</f>
        <v>27997</v>
      </c>
      <c r="AK31" s="20">
        <f>+C31+H31+N31+Q31+S31+Y31+D31+X31+AE31+E31</f>
        <v>9549</v>
      </c>
      <c r="AL31">
        <f>+B31+P31+AC31+AH31+AF31+K31+L31+V31+U31+Z31+M31+J31+G31+F31+I31+O31</f>
        <v>6405.0479999999998</v>
      </c>
      <c r="AM31">
        <f>+Q31+V31+Y31+AH31+N31+H31+E31</f>
        <v>8235</v>
      </c>
      <c r="AN31" s="20">
        <f>+B31+C31+J31+K31+L31+P31+R31+S31+W31+AA31+AB31+AC31+AD31+AF31+T31+D31+AG31+X31+M31+F31+AE31</f>
        <v>35083.048000000003</v>
      </c>
      <c r="AO31" s="20">
        <f>+Z31+U31+G31+I31+O31</f>
        <v>633</v>
      </c>
      <c r="AP31">
        <f>+AJ31+AK31+AL31</f>
        <v>43951.048000000003</v>
      </c>
      <c r="AQ31">
        <f>+AJ31+AK31+AL31</f>
        <v>43951.048000000003</v>
      </c>
    </row>
    <row r="32" spans="1:46" x14ac:dyDescent="0.2">
      <c r="A32" t="s">
        <v>4</v>
      </c>
      <c r="B32" s="3">
        <f>+B31/B30</f>
        <v>0.27492447129909364</v>
      </c>
      <c r="C32" s="3">
        <f>+C31/C30</f>
        <v>0.1704199634814364</v>
      </c>
      <c r="D32" s="3"/>
      <c r="E32" s="3">
        <f t="shared" ref="E32:Y32" si="8">+E31/E30</f>
        <v>0.67002071618822134</v>
      </c>
      <c r="F32" s="3">
        <f t="shared" si="8"/>
        <v>0.60721062618595822</v>
      </c>
      <c r="G32" s="3">
        <f t="shared" si="8"/>
        <v>0.11981566820276497</v>
      </c>
      <c r="H32" s="3">
        <f t="shared" si="8"/>
        <v>0.44807238394964594</v>
      </c>
      <c r="I32" s="3"/>
      <c r="J32" s="3">
        <f t="shared" si="8"/>
        <v>0.86010072747621713</v>
      </c>
      <c r="K32" s="3">
        <f t="shared" si="8"/>
        <v>0.74702886247877764</v>
      </c>
      <c r="L32" s="3">
        <f t="shared" si="8"/>
        <v>0.81032258064516127</v>
      </c>
      <c r="M32" s="3">
        <f t="shared" si="8"/>
        <v>0.27200000000000002</v>
      </c>
      <c r="N32" s="3">
        <f t="shared" si="8"/>
        <v>0.30017921146953402</v>
      </c>
      <c r="O32" s="3">
        <f t="shared" si="8"/>
        <v>0.35253456221198154</v>
      </c>
      <c r="P32" s="3">
        <f t="shared" si="8"/>
        <v>0.16363636363636364</v>
      </c>
      <c r="Q32" s="3">
        <f t="shared" si="8"/>
        <v>0.79624753127057279</v>
      </c>
      <c r="R32" s="3">
        <f t="shared" si="8"/>
        <v>9.6046568032985696E-2</v>
      </c>
      <c r="S32" s="3">
        <f t="shared" si="8"/>
        <v>0.26213310084277824</v>
      </c>
      <c r="T32" s="3">
        <f t="shared" si="8"/>
        <v>9.6031746031746038E-2</v>
      </c>
      <c r="U32" s="3">
        <f t="shared" si="8"/>
        <v>0.30014025245441794</v>
      </c>
      <c r="V32" s="3">
        <f t="shared" si="8"/>
        <v>0.70064516129032262</v>
      </c>
      <c r="W32" s="3">
        <f t="shared" si="8"/>
        <v>0.26209677419354838</v>
      </c>
      <c r="X32" s="3">
        <f t="shared" si="8"/>
        <v>0.30978865406006673</v>
      </c>
      <c r="Y32" s="3">
        <f t="shared" si="8"/>
        <v>0.53387096774193543</v>
      </c>
      <c r="AA32" s="3">
        <f>+AA31/AA30</f>
        <v>0.50394265232974911</v>
      </c>
      <c r="AB32" s="3">
        <f>+AB31/AB30</f>
        <v>0.78100632028236061</v>
      </c>
      <c r="AC32" s="3">
        <f>+AC31/AC30</f>
        <v>0.53846153846153844</v>
      </c>
      <c r="AD32" s="3">
        <f>+AD31/AD30</f>
        <v>0.90170343479475012</v>
      </c>
      <c r="AE32" s="3">
        <f>+AE31/AE30</f>
        <v>0.35287789133942982</v>
      </c>
      <c r="AF32" s="3">
        <f t="shared" ref="AF32:AO32" si="9">+AF31/AF30</f>
        <v>0.5266622778143516</v>
      </c>
      <c r="AG32" s="3">
        <f t="shared" si="9"/>
        <v>0.79437736529104341</v>
      </c>
      <c r="AH32" s="3">
        <f t="shared" si="9"/>
        <v>0.5104364326375711</v>
      </c>
      <c r="AI32" s="6">
        <f t="shared" si="9"/>
        <v>0.49797808722056669</v>
      </c>
      <c r="AJ32" s="3">
        <f t="shared" si="9"/>
        <v>0.50332590248813458</v>
      </c>
      <c r="AK32" s="3">
        <f t="shared" si="9"/>
        <v>0.45102021537880221</v>
      </c>
      <c r="AL32" s="3">
        <f t="shared" si="9"/>
        <v>0.55875844019890075</v>
      </c>
      <c r="AM32" s="3">
        <f t="shared" si="9"/>
        <v>0.57748948106591869</v>
      </c>
      <c r="AN32" s="3">
        <f t="shared" si="9"/>
        <v>0.48926920019524445</v>
      </c>
      <c r="AO32" s="3">
        <f t="shared" si="9"/>
        <v>0.27593722755013078</v>
      </c>
    </row>
    <row r="33" spans="1:43" x14ac:dyDescent="0.2">
      <c r="A33" s="20"/>
      <c r="B33" s="20">
        <v>1</v>
      </c>
      <c r="C33" s="20">
        <v>1</v>
      </c>
      <c r="D33" s="20"/>
      <c r="E33" s="20">
        <v>1</v>
      </c>
      <c r="F33" s="20">
        <v>1</v>
      </c>
      <c r="G33" s="20">
        <v>1</v>
      </c>
      <c r="H33" s="20">
        <v>1</v>
      </c>
      <c r="I33" s="20"/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19">
        <f>SUM(B33:AH33)</f>
        <v>30</v>
      </c>
      <c r="AJ33" s="20">
        <f>+AA33+R33+W33+AB33+AD33+T33+AG33</f>
        <v>7</v>
      </c>
      <c r="AK33" s="20">
        <f>+C33+H33+N33+Q33+S33+Y33+D33+X33+AE33+E33</f>
        <v>9</v>
      </c>
      <c r="AL33" s="20">
        <f>+B33+P33+AC33+AH33+AF33+K33+L33+V33+U33+Z33+M33+J33+G33+F33+I33+O33</f>
        <v>14</v>
      </c>
      <c r="AM33" s="20">
        <f>+Q33+V33+Y33+AH33+N33+H33+E33</f>
        <v>7</v>
      </c>
      <c r="AN33" s="20">
        <f>+B33+C33+J33+K33+L33+P33+R33+S33+W33+AA33+AB33+AC33+AD33+AF33+T33+D33+AG33+X33+M33+F33+AE33</f>
        <v>20</v>
      </c>
      <c r="AO33" s="20">
        <f>+Z33+U33+G33+I33+O33</f>
        <v>3</v>
      </c>
    </row>
    <row r="34" spans="1:43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AA34" s="20"/>
      <c r="AB34" s="20"/>
      <c r="AC34" s="20"/>
      <c r="AD34" s="20"/>
      <c r="AE34" s="20"/>
      <c r="AF34" s="20"/>
      <c r="AG34" s="20"/>
      <c r="AH34" s="20"/>
      <c r="AI34" s="19"/>
      <c r="AJ34" s="20"/>
      <c r="AK34" s="20"/>
      <c r="AL34" s="20"/>
      <c r="AM34" s="20"/>
      <c r="AN34" s="20"/>
      <c r="AO34" s="20"/>
    </row>
    <row r="35" spans="1:43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AA35" s="1"/>
      <c r="AB35" s="1"/>
      <c r="AC35" s="1"/>
      <c r="AD35" s="1"/>
      <c r="AE35" s="1"/>
      <c r="AI35" s="5"/>
    </row>
    <row r="36" spans="1:43" x14ac:dyDescent="0.2">
      <c r="A36" t="s">
        <v>1</v>
      </c>
      <c r="B36" s="38">
        <v>540</v>
      </c>
      <c r="C36" s="38">
        <v>1590</v>
      </c>
      <c r="D36" s="38"/>
      <c r="E36" s="38">
        <v>3270</v>
      </c>
      <c r="F36" s="38">
        <v>510</v>
      </c>
      <c r="G36" s="38">
        <v>420</v>
      </c>
      <c r="H36" s="38">
        <v>2460</v>
      </c>
      <c r="I36" s="38"/>
      <c r="J36" s="38">
        <v>1729</v>
      </c>
      <c r="K36" s="38">
        <v>1140</v>
      </c>
      <c r="L36" s="38">
        <v>750</v>
      </c>
      <c r="M36" s="38">
        <v>420</v>
      </c>
      <c r="N36" s="38">
        <v>2160</v>
      </c>
      <c r="O36" s="38">
        <v>420</v>
      </c>
      <c r="P36" s="38">
        <v>0</v>
      </c>
      <c r="Q36" s="38">
        <v>2940</v>
      </c>
      <c r="R36" s="38">
        <v>7980</v>
      </c>
      <c r="S36" s="38">
        <v>3330</v>
      </c>
      <c r="T36" s="38">
        <v>0</v>
      </c>
      <c r="U36" s="38">
        <v>1380</v>
      </c>
      <c r="V36" s="38">
        <v>750</v>
      </c>
      <c r="W36" s="38">
        <v>13920</v>
      </c>
      <c r="X36" s="38">
        <v>1740</v>
      </c>
      <c r="Y36" s="38">
        <v>1200</v>
      </c>
      <c r="Z36" s="38"/>
      <c r="AA36" s="38">
        <v>5400</v>
      </c>
      <c r="AB36" s="38">
        <v>11790</v>
      </c>
      <c r="AC36" s="38">
        <v>390</v>
      </c>
      <c r="AD36" s="38">
        <v>7380</v>
      </c>
      <c r="AE36" s="38">
        <v>1799</v>
      </c>
      <c r="AF36" s="38">
        <v>1470</v>
      </c>
      <c r="AG36" s="38">
        <v>5370</v>
      </c>
      <c r="AH36" s="38">
        <v>1020</v>
      </c>
      <c r="AI36" s="19">
        <f>SUM(B36:AH36)</f>
        <v>83268</v>
      </c>
      <c r="AJ36">
        <f>+AA36+R36+W36+AB36+AD36+T36+AG36</f>
        <v>51840</v>
      </c>
      <c r="AK36" s="20">
        <f>+C36+H36+N36+Q36+S36+Y36+D36+X36+AE36+E36</f>
        <v>20489</v>
      </c>
      <c r="AL36">
        <f>+B36+P36+AC36+AH36+AF36+K36+L36+V36+U36+Z36+M36+J36+G36+F36+I36+O36</f>
        <v>10939</v>
      </c>
      <c r="AM36">
        <f>+Q36+V36+Y36+AH36+N36+H36+E36</f>
        <v>13800</v>
      </c>
      <c r="AN36" s="20">
        <f>+B36+C36+J36+K36+L36+P36+R36+S36+W36+AA36+AB36+AC36+AD36+AF36+T36+D36+AG36+X36+M36+F36+AE36</f>
        <v>67248</v>
      </c>
      <c r="AO36" s="20">
        <f>+Z36+U36+G36+I36+O36</f>
        <v>2220</v>
      </c>
      <c r="AP36">
        <f>+AJ36+AK36+AL36</f>
        <v>83268</v>
      </c>
      <c r="AQ36">
        <f>+AJ36+AK36+AL36</f>
        <v>83268</v>
      </c>
    </row>
    <row r="37" spans="1:43" x14ac:dyDescent="0.2">
      <c r="A37" t="s">
        <v>2</v>
      </c>
      <c r="B37" s="38">
        <v>63</v>
      </c>
      <c r="C37" s="38">
        <v>223</v>
      </c>
      <c r="D37" s="38"/>
      <c r="E37" s="38">
        <f>+E36*0.5</f>
        <v>1635</v>
      </c>
      <c r="F37" s="38">
        <v>378</v>
      </c>
      <c r="G37" s="38">
        <v>64</v>
      </c>
      <c r="H37" s="38">
        <v>765</v>
      </c>
      <c r="I37" s="38"/>
      <c r="J37" s="38">
        <f>+J36*0.87</f>
        <v>1504.23</v>
      </c>
      <c r="K37" s="38">
        <v>750</v>
      </c>
      <c r="L37" s="38">
        <f>+L36*0.82</f>
        <v>615</v>
      </c>
      <c r="M37" s="38">
        <v>53</v>
      </c>
      <c r="N37" s="38">
        <v>583</v>
      </c>
      <c r="O37" s="38">
        <v>112</v>
      </c>
      <c r="P37" s="38">
        <v>0</v>
      </c>
      <c r="Q37" s="38">
        <v>2072</v>
      </c>
      <c r="R37" s="38">
        <v>686</v>
      </c>
      <c r="S37" s="38">
        <v>366</v>
      </c>
      <c r="T37" s="38">
        <v>0</v>
      </c>
      <c r="U37" s="38">
        <f>+U36*0.3</f>
        <v>414</v>
      </c>
      <c r="V37" s="38">
        <f>+V36*0.9</f>
        <v>675</v>
      </c>
      <c r="W37" s="38">
        <v>3622</v>
      </c>
      <c r="X37" s="38">
        <v>679</v>
      </c>
      <c r="Y37" s="38">
        <v>766</v>
      </c>
      <c r="Z37" s="38"/>
      <c r="AA37" s="38">
        <f>+AA36*0.51</f>
        <v>2754</v>
      </c>
      <c r="AB37" s="38">
        <v>9220</v>
      </c>
      <c r="AC37" s="38">
        <v>157</v>
      </c>
      <c r="AD37" s="38">
        <v>5994</v>
      </c>
      <c r="AE37" s="38">
        <v>559</v>
      </c>
      <c r="AF37" s="38">
        <v>787</v>
      </c>
      <c r="AG37" s="38">
        <v>4166</v>
      </c>
      <c r="AH37" s="38">
        <v>404</v>
      </c>
      <c r="AI37" s="19">
        <f>SUM(B37:AH37)</f>
        <v>40066.229999999996</v>
      </c>
      <c r="AJ37">
        <f>+AA37+R37+W37+AB37+AD37+T37+AG37</f>
        <v>26442</v>
      </c>
      <c r="AK37" s="20">
        <f>+C37+H37+N37+Q37+S37+Y37+D37+X37+AE37+E37</f>
        <v>7648</v>
      </c>
      <c r="AL37">
        <f>+B37+P37+AC37+AH37+AF37+K37+L37+V37+U37+Z37+M37+J37+G37+F37+I37+O37</f>
        <v>5976.23</v>
      </c>
      <c r="AM37">
        <f>+Q37+V37+Y37+AH37+N37+H37+E37</f>
        <v>6900</v>
      </c>
      <c r="AN37" s="20">
        <f>+B37+C37+J37+K37+L37+P37+R37+S37+W37+AA37+AB37+AC37+AD37+AF37+T37+D37+AG37+X37+M37+F37+AE37</f>
        <v>32576.23</v>
      </c>
      <c r="AO37" s="20">
        <f>+Z37+U37+G37+I37+O37</f>
        <v>590</v>
      </c>
      <c r="AP37">
        <f>+AJ37+AK37+AL37</f>
        <v>40066.229999999996</v>
      </c>
      <c r="AQ37">
        <f>+AJ37+AK37+AL37</f>
        <v>40066.229999999996</v>
      </c>
    </row>
    <row r="38" spans="1:43" x14ac:dyDescent="0.2">
      <c r="A38" t="s">
        <v>4</v>
      </c>
      <c r="B38" s="3">
        <f>+B37/B36</f>
        <v>0.11666666666666667</v>
      </c>
      <c r="C38" s="3">
        <f>+C37/C36</f>
        <v>0.14025157232704402</v>
      </c>
      <c r="D38" s="3"/>
      <c r="E38" s="3">
        <f t="shared" ref="E38:O38" si="10">+E37/E36</f>
        <v>0.5</v>
      </c>
      <c r="F38" s="3">
        <f t="shared" si="10"/>
        <v>0.74117647058823533</v>
      </c>
      <c r="G38" s="3">
        <f t="shared" si="10"/>
        <v>0.15238095238095239</v>
      </c>
      <c r="H38" s="3">
        <f t="shared" si="10"/>
        <v>0.31097560975609756</v>
      </c>
      <c r="I38" s="3"/>
      <c r="J38" s="3">
        <f t="shared" si="10"/>
        <v>0.87</v>
      </c>
      <c r="K38" s="3">
        <f t="shared" si="10"/>
        <v>0.65789473684210531</v>
      </c>
      <c r="L38" s="3">
        <f t="shared" si="10"/>
        <v>0.82</v>
      </c>
      <c r="M38" s="3">
        <f t="shared" si="10"/>
        <v>0.12619047619047619</v>
      </c>
      <c r="N38" s="3">
        <f t="shared" si="10"/>
        <v>0.26990740740740743</v>
      </c>
      <c r="O38" s="3">
        <f t="shared" si="10"/>
        <v>0.26666666666666666</v>
      </c>
      <c r="P38" s="3">
        <v>0</v>
      </c>
      <c r="Q38" s="3">
        <f t="shared" ref="Q38:Y38" si="11">+Q37/Q36</f>
        <v>0.70476190476190481</v>
      </c>
      <c r="R38" s="3">
        <f t="shared" si="11"/>
        <v>8.5964912280701758E-2</v>
      </c>
      <c r="S38" s="3">
        <f t="shared" si="11"/>
        <v>0.10990990990990991</v>
      </c>
      <c r="T38" s="3">
        <v>0</v>
      </c>
      <c r="U38" s="3">
        <f t="shared" si="11"/>
        <v>0.3</v>
      </c>
      <c r="V38" s="3">
        <f t="shared" si="11"/>
        <v>0.9</v>
      </c>
      <c r="W38" s="3">
        <f t="shared" si="11"/>
        <v>0.26020114942528738</v>
      </c>
      <c r="X38" s="3">
        <f t="shared" si="11"/>
        <v>0.39022988505747125</v>
      </c>
      <c r="Y38" s="3">
        <f t="shared" si="11"/>
        <v>0.63833333333333331</v>
      </c>
      <c r="AA38" s="3">
        <f t="shared" ref="AA38:AO38" si="12">+AA37/AA36</f>
        <v>0.51</v>
      </c>
      <c r="AB38" s="3">
        <f t="shared" si="12"/>
        <v>0.7820186598812553</v>
      </c>
      <c r="AC38" s="3">
        <f t="shared" si="12"/>
        <v>0.40256410256410258</v>
      </c>
      <c r="AD38" s="3">
        <f t="shared" si="12"/>
        <v>0.81219512195121957</v>
      </c>
      <c r="AE38" s="3">
        <f t="shared" si="12"/>
        <v>0.31072818232351307</v>
      </c>
      <c r="AF38" s="3">
        <f t="shared" si="12"/>
        <v>0.53537414965986396</v>
      </c>
      <c r="AG38" s="3">
        <f t="shared" si="12"/>
        <v>0.77579143389199257</v>
      </c>
      <c r="AH38" s="3">
        <f t="shared" si="12"/>
        <v>0.396078431372549</v>
      </c>
      <c r="AI38" s="6">
        <f t="shared" si="12"/>
        <v>0.48117199884709605</v>
      </c>
      <c r="AJ38" s="3">
        <f t="shared" si="12"/>
        <v>0.51006944444444446</v>
      </c>
      <c r="AK38" s="3">
        <f t="shared" si="12"/>
        <v>0.37327346380984916</v>
      </c>
      <c r="AL38" s="3">
        <f t="shared" si="12"/>
        <v>0.54632324709754088</v>
      </c>
      <c r="AM38" s="3">
        <f t="shared" si="12"/>
        <v>0.5</v>
      </c>
      <c r="AN38" s="3">
        <f t="shared" si="12"/>
        <v>0.48441931358553414</v>
      </c>
      <c r="AO38" s="3">
        <f t="shared" si="12"/>
        <v>0.26576576576576577</v>
      </c>
    </row>
    <row r="39" spans="1:43" x14ac:dyDescent="0.2">
      <c r="A39" s="20"/>
      <c r="B39" s="20">
        <v>1</v>
      </c>
      <c r="C39" s="20">
        <v>1</v>
      </c>
      <c r="D39" s="20"/>
      <c r="E39" s="20">
        <v>1</v>
      </c>
      <c r="F39" s="20">
        <v>1</v>
      </c>
      <c r="G39" s="20">
        <v>1</v>
      </c>
      <c r="H39" s="20">
        <v>1</v>
      </c>
      <c r="I39" s="20"/>
      <c r="J39" s="20">
        <v>1</v>
      </c>
      <c r="K39" s="20">
        <v>1</v>
      </c>
      <c r="L39" s="20">
        <v>1</v>
      </c>
      <c r="M39" s="20">
        <v>1</v>
      </c>
      <c r="N39" s="20">
        <v>1</v>
      </c>
      <c r="O39" s="20">
        <v>1</v>
      </c>
      <c r="P39" s="20"/>
      <c r="Q39" s="20">
        <v>1</v>
      </c>
      <c r="R39" s="20">
        <v>1</v>
      </c>
      <c r="S39" s="20">
        <v>1</v>
      </c>
      <c r="T39" s="20"/>
      <c r="U39" s="20">
        <v>1</v>
      </c>
      <c r="V39" s="20">
        <v>1</v>
      </c>
      <c r="W39" s="20">
        <v>1</v>
      </c>
      <c r="X39" s="20">
        <v>1</v>
      </c>
      <c r="Y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19">
        <f>SUM(B39:AH39)</f>
        <v>28</v>
      </c>
      <c r="AJ39" s="20">
        <f>+AA39+R39+W39+AB39+AD39+T39+AG39</f>
        <v>6</v>
      </c>
      <c r="AK39" s="20">
        <f>+C39+H39+N39+Q39+S39+Y39+D39+X39+AE39+E39</f>
        <v>9</v>
      </c>
      <c r="AL39" s="20">
        <f>+B39+P39+AC39+AH39+AF39+K39+L39+V39+U39+Z39+M39+J39+G39+F39+I39+O39</f>
        <v>13</v>
      </c>
      <c r="AM39" s="20">
        <f>+Q39+V39+Y39+AH39+N39+H39+E39</f>
        <v>7</v>
      </c>
      <c r="AN39" s="20">
        <f>+B39+C39+J39+K39+L39+P39+R39+S39+W39+AA39+AB39+AC39+AD39+AF39+T39+D39+AG39+X39+M39+F39+AE39</f>
        <v>18</v>
      </c>
      <c r="AO39" s="20">
        <f>+Z39+U39+G39+I39+O39</f>
        <v>3</v>
      </c>
    </row>
    <row r="40" spans="1:43" x14ac:dyDescent="0.2">
      <c r="H40" s="5"/>
      <c r="I40" s="5"/>
    </row>
    <row r="41" spans="1:43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  <c r="AE41" s="1"/>
      <c r="AI41" s="5"/>
    </row>
    <row r="42" spans="1:43" x14ac:dyDescent="0.2">
      <c r="A42" t="s">
        <v>1</v>
      </c>
      <c r="B42" s="38">
        <v>662</v>
      </c>
      <c r="C42" s="38">
        <v>1643</v>
      </c>
      <c r="D42" s="38"/>
      <c r="E42" s="38">
        <v>3379</v>
      </c>
      <c r="F42" s="38">
        <v>527</v>
      </c>
      <c r="G42" s="38">
        <v>434</v>
      </c>
      <c r="H42" s="38">
        <v>2542</v>
      </c>
      <c r="I42" s="38"/>
      <c r="J42" s="38">
        <v>1787</v>
      </c>
      <c r="K42" s="38">
        <v>1178</v>
      </c>
      <c r="L42" s="38">
        <v>775</v>
      </c>
      <c r="M42" s="38">
        <v>0</v>
      </c>
      <c r="N42" s="38">
        <f>2160/30*26</f>
        <v>1872</v>
      </c>
      <c r="O42" s="38">
        <v>434</v>
      </c>
      <c r="P42" s="38"/>
      <c r="Q42" s="38">
        <v>3038</v>
      </c>
      <c r="R42" s="38">
        <v>8246</v>
      </c>
      <c r="S42" s="38">
        <v>3441</v>
      </c>
      <c r="T42" s="38">
        <f>6300/30*15</f>
        <v>3150</v>
      </c>
      <c r="U42" s="38">
        <v>1426</v>
      </c>
      <c r="V42" s="38">
        <v>775</v>
      </c>
      <c r="W42" s="38">
        <v>14384</v>
      </c>
      <c r="X42" s="38">
        <v>1798</v>
      </c>
      <c r="Y42" s="38">
        <v>1240</v>
      </c>
      <c r="Z42" s="38"/>
      <c r="AA42" s="38">
        <v>5580</v>
      </c>
      <c r="AB42" s="38">
        <v>12183</v>
      </c>
      <c r="AC42" s="38">
        <v>403</v>
      </c>
      <c r="AD42" s="38">
        <v>7595</v>
      </c>
      <c r="AE42" s="38">
        <v>1859</v>
      </c>
      <c r="AF42" s="38">
        <v>1519</v>
      </c>
      <c r="AG42" s="38">
        <v>5549</v>
      </c>
      <c r="AH42" s="38">
        <v>1054</v>
      </c>
      <c r="AI42" s="46">
        <f>SUM(B42:AH42)</f>
        <v>88473</v>
      </c>
      <c r="AJ42">
        <f>+AA42+R42+W42+AB42+AD42+T42+AG42</f>
        <v>56687</v>
      </c>
      <c r="AK42" s="20">
        <f>+C42+H42+N42+Q42+S42+Y42+D42+X42+AE42+E42</f>
        <v>20812</v>
      </c>
      <c r="AL42">
        <f>+B42+P42+AC42+AH42+AF42+K42+L42+V42+U42+Z42+M42+J42+G42+F42+I42+O42</f>
        <v>10974</v>
      </c>
      <c r="AM42">
        <f>+Q42+V42+Y42+AH42+N42+H42+E42</f>
        <v>13900</v>
      </c>
      <c r="AN42" s="20">
        <f>+B42+C42+J42+K42+L42+P42+R42+S42+W42+AA42+AB42+AC42+AD42+AF42+T42+D42+AG42+X42+M42+F42+AE42</f>
        <v>72279</v>
      </c>
      <c r="AO42" s="20">
        <f>+Z42+U42+G42+I42+O42</f>
        <v>2294</v>
      </c>
      <c r="AP42">
        <f>+AJ42+AK42+AL42</f>
        <v>88473</v>
      </c>
      <c r="AQ42">
        <f>+AJ42+AK42+AL42</f>
        <v>88473</v>
      </c>
    </row>
    <row r="43" spans="1:43" x14ac:dyDescent="0.2">
      <c r="A43" t="s">
        <v>2</v>
      </c>
      <c r="B43" s="47">
        <v>38</v>
      </c>
      <c r="C43" s="47">
        <v>247</v>
      </c>
      <c r="D43" s="47"/>
      <c r="E43" s="47">
        <v>1656</v>
      </c>
      <c r="F43" s="47">
        <v>397</v>
      </c>
      <c r="G43" s="47">
        <v>72</v>
      </c>
      <c r="H43" s="47">
        <v>1332</v>
      </c>
      <c r="I43" s="47"/>
      <c r="J43" s="47">
        <v>1590</v>
      </c>
      <c r="K43" s="47">
        <v>784</v>
      </c>
      <c r="L43" s="47">
        <v>581</v>
      </c>
      <c r="M43" s="47">
        <v>0</v>
      </c>
      <c r="N43" s="47">
        <v>505</v>
      </c>
      <c r="O43" s="47">
        <v>213</v>
      </c>
      <c r="P43" s="47"/>
      <c r="Q43" s="47">
        <v>1848</v>
      </c>
      <c r="R43" s="47">
        <v>1394</v>
      </c>
      <c r="S43" s="47">
        <v>496</v>
      </c>
      <c r="T43" s="47">
        <v>488</v>
      </c>
      <c r="U43" s="47">
        <v>570</v>
      </c>
      <c r="V43" s="47">
        <v>659</v>
      </c>
      <c r="W43" s="47">
        <v>4071</v>
      </c>
      <c r="X43" s="47">
        <v>881</v>
      </c>
      <c r="Y43" s="47">
        <v>745</v>
      </c>
      <c r="Z43" s="47"/>
      <c r="AA43" s="47">
        <v>2779</v>
      </c>
      <c r="AB43" s="47">
        <v>8869</v>
      </c>
      <c r="AC43" s="47">
        <v>195</v>
      </c>
      <c r="AD43" s="47">
        <v>7343</v>
      </c>
      <c r="AE43" s="47">
        <v>727</v>
      </c>
      <c r="AF43" s="47">
        <v>753</v>
      </c>
      <c r="AG43" s="47">
        <v>4710</v>
      </c>
      <c r="AH43" s="47">
        <v>379</v>
      </c>
      <c r="AI43" s="46">
        <f>SUM(B43:AH43)</f>
        <v>44322</v>
      </c>
      <c r="AJ43">
        <f>+AA43+R43+W43+AB43+AD43+T43+AG43</f>
        <v>29654</v>
      </c>
      <c r="AK43" s="48">
        <f>+C43+H43+N43+Q43+S43+Y43+D43+X43+AE43+E43</f>
        <v>8437</v>
      </c>
      <c r="AL43">
        <f>+B43+P43+AC43+AH43+AF43+K43+L43+V43+U43+Z43+M43+J43+G43+F43+I43+O43</f>
        <v>6231</v>
      </c>
      <c r="AM43">
        <f>+Q43+V43+Y43+AH43+N43+H43+E43</f>
        <v>7124</v>
      </c>
      <c r="AN43" s="20">
        <f>+B43+C43+J43+K43+L43+P43+R43+S43+W43+AA43+AB43+AC43+AD43+AF43+T43+D43+AG43+X43+M43+F43+AE43</f>
        <v>36343</v>
      </c>
      <c r="AO43" s="20">
        <f>+Z43+U43+G43+I43+O43</f>
        <v>855</v>
      </c>
      <c r="AP43">
        <f>+AJ43+AK43+AL43</f>
        <v>44322</v>
      </c>
      <c r="AQ43">
        <f>+AJ43+AK43+AL43</f>
        <v>44322</v>
      </c>
    </row>
    <row r="44" spans="1:43" x14ac:dyDescent="0.2">
      <c r="A44" t="s">
        <v>4</v>
      </c>
      <c r="B44" s="3">
        <f>+B43/B42</f>
        <v>5.7401812688821753E-2</v>
      </c>
      <c r="C44" s="3">
        <f>+C43/C42</f>
        <v>0.15033475349969569</v>
      </c>
      <c r="D44" s="3"/>
      <c r="E44" s="3">
        <f t="shared" ref="E44:L44" si="13">+E43/E42</f>
        <v>0.49008582420834568</v>
      </c>
      <c r="F44" s="3">
        <f t="shared" si="13"/>
        <v>0.75332068311195444</v>
      </c>
      <c r="G44" s="3">
        <f t="shared" si="13"/>
        <v>0.16589861751152074</v>
      </c>
      <c r="H44" s="3">
        <f t="shared" si="13"/>
        <v>0.52399685287175457</v>
      </c>
      <c r="I44" s="3"/>
      <c r="J44" s="3">
        <f t="shared" si="13"/>
        <v>0.88975937325125909</v>
      </c>
      <c r="K44" s="3">
        <f t="shared" si="13"/>
        <v>0.66553480475381999</v>
      </c>
      <c r="L44" s="3">
        <f t="shared" si="13"/>
        <v>0.74967741935483867</v>
      </c>
      <c r="M44" s="3">
        <v>0</v>
      </c>
      <c r="N44" s="3">
        <f>+N43/N42</f>
        <v>0.26976495726495725</v>
      </c>
      <c r="O44" s="3">
        <f>+O43/O42</f>
        <v>0.49078341013824883</v>
      </c>
      <c r="P44" s="3">
        <v>0</v>
      </c>
      <c r="Q44" s="3">
        <f t="shared" ref="Q44:W44" si="14">+Q43/Q42</f>
        <v>0.60829493087557607</v>
      </c>
      <c r="R44" s="3">
        <f t="shared" si="14"/>
        <v>0.1690516614115935</v>
      </c>
      <c r="S44" s="3">
        <f t="shared" si="14"/>
        <v>0.14414414414414414</v>
      </c>
      <c r="T44" s="3">
        <f t="shared" si="14"/>
        <v>0.15492063492063493</v>
      </c>
      <c r="U44" s="3">
        <f t="shared" si="14"/>
        <v>0.39971949509116411</v>
      </c>
      <c r="V44" s="3">
        <f t="shared" si="14"/>
        <v>0.85032258064516131</v>
      </c>
      <c r="W44" s="3">
        <f t="shared" si="14"/>
        <v>0.28302280311457173</v>
      </c>
      <c r="X44" s="3">
        <f>+X43/X42</f>
        <v>0.4899888765294772</v>
      </c>
      <c r="Y44" s="3">
        <f>+Y43/Y42</f>
        <v>0.60080645161290325</v>
      </c>
      <c r="Z44" s="3">
        <v>0</v>
      </c>
      <c r="AA44" s="3">
        <f>+AA43/AA42</f>
        <v>0.49802867383512545</v>
      </c>
      <c r="AB44" s="3">
        <f>+AB43/AB42</f>
        <v>0.72798161372404169</v>
      </c>
      <c r="AC44" s="3">
        <f>+AC43/AC42</f>
        <v>0.4838709677419355</v>
      </c>
      <c r="AD44" s="3">
        <f>+AD43/AD42</f>
        <v>0.96682027649769586</v>
      </c>
      <c r="AE44" s="3">
        <f>+AE43/AE42</f>
        <v>0.39107046799354489</v>
      </c>
      <c r="AF44" s="3">
        <f t="shared" ref="AF44:AO44" si="15">+AF43/AF42</f>
        <v>0.49572086899275841</v>
      </c>
      <c r="AG44" s="3">
        <f t="shared" si="15"/>
        <v>0.84880158587132815</v>
      </c>
      <c r="AH44" s="3">
        <f t="shared" si="15"/>
        <v>0.35958254269449713</v>
      </c>
      <c r="AI44" s="6">
        <f t="shared" si="15"/>
        <v>0.50096639652775421</v>
      </c>
      <c r="AJ44" s="3">
        <f t="shared" si="15"/>
        <v>0.52311817524300108</v>
      </c>
      <c r="AK44" s="3">
        <f t="shared" si="15"/>
        <v>0.40539112050739956</v>
      </c>
      <c r="AL44" s="3">
        <f t="shared" si="15"/>
        <v>0.56779661016949157</v>
      </c>
      <c r="AM44" s="3">
        <f t="shared" si="15"/>
        <v>0.51251798561151074</v>
      </c>
      <c r="AN44" s="3">
        <f t="shared" si="15"/>
        <v>0.50281547890811995</v>
      </c>
      <c r="AO44" s="3">
        <f t="shared" si="15"/>
        <v>0.37271142109851785</v>
      </c>
    </row>
    <row r="45" spans="1:43" x14ac:dyDescent="0.2">
      <c r="A45" s="20"/>
      <c r="B45" s="38">
        <v>1</v>
      </c>
      <c r="C45" s="39">
        <v>1</v>
      </c>
      <c r="D45" s="39"/>
      <c r="E45" s="39">
        <v>1</v>
      </c>
      <c r="F45" s="39">
        <v>1</v>
      </c>
      <c r="G45" s="39">
        <v>1</v>
      </c>
      <c r="H45" s="39">
        <v>1</v>
      </c>
      <c r="I45" s="39"/>
      <c r="J45" s="39">
        <v>1</v>
      </c>
      <c r="K45" s="39">
        <v>1</v>
      </c>
      <c r="L45" s="39">
        <v>1</v>
      </c>
      <c r="M45" s="39"/>
      <c r="N45" s="39">
        <v>1</v>
      </c>
      <c r="O45" s="39">
        <v>1</v>
      </c>
      <c r="P45" s="39"/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>
        <v>1</v>
      </c>
      <c r="Z45" s="39"/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46">
        <f>SUM(B45:AH45)</f>
        <v>28</v>
      </c>
      <c r="AJ45" s="20">
        <f>+AA45+R45+W45+AB45+AD45+T45+AG45</f>
        <v>7</v>
      </c>
      <c r="AK45" s="20">
        <f>+C45+H45+N45+Q45+S45+Y45+D45+X45+AE45+E45</f>
        <v>9</v>
      </c>
      <c r="AL45" s="20">
        <f>+B45+P45+AC45+AH45+AF45+K45+L45+V45+U45+Z45+M45+J45+G45+F45+I45+O45</f>
        <v>12</v>
      </c>
      <c r="AM45" s="20">
        <f>+Q45+V45+Y45+AH45+N45+H45+E45</f>
        <v>7</v>
      </c>
      <c r="AN45" s="20">
        <f>+B45+C45+J45+K45+L45+P45+R45+S45+W45+AA45+AB45+AC45+AD45+AF45+T45+D45+AG45+X45+M45+F45+AE45</f>
        <v>18</v>
      </c>
      <c r="AO45" s="20">
        <f>+Z45+U45+G45+I45+O45</f>
        <v>3</v>
      </c>
    </row>
    <row r="46" spans="1:43" x14ac:dyDescent="0.2">
      <c r="H46" s="40"/>
      <c r="I46" s="40"/>
      <c r="AE46" t="s">
        <v>15</v>
      </c>
    </row>
    <row r="47" spans="1:43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  <c r="AE47" s="1"/>
      <c r="AI47" s="5"/>
    </row>
    <row r="48" spans="1:43" x14ac:dyDescent="0.2">
      <c r="A48" t="s">
        <v>1</v>
      </c>
      <c r="B48" s="38">
        <v>662</v>
      </c>
      <c r="C48" s="38">
        <v>1643</v>
      </c>
      <c r="D48" s="38"/>
      <c r="E48" s="38">
        <v>3379</v>
      </c>
      <c r="F48" s="38">
        <v>527</v>
      </c>
      <c r="G48" s="38">
        <v>434</v>
      </c>
      <c r="H48" s="38">
        <v>2542</v>
      </c>
      <c r="I48" s="38"/>
      <c r="J48" s="38">
        <v>1787</v>
      </c>
      <c r="K48" s="38">
        <v>1178</v>
      </c>
      <c r="L48" s="38">
        <v>775</v>
      </c>
      <c r="M48" s="38">
        <v>0</v>
      </c>
      <c r="N48" s="38">
        <v>0</v>
      </c>
      <c r="O48" s="38">
        <v>434</v>
      </c>
      <c r="P48" s="38">
        <v>0</v>
      </c>
      <c r="Q48" s="38">
        <v>3038</v>
      </c>
      <c r="R48" s="38">
        <v>8246</v>
      </c>
      <c r="S48" s="38">
        <v>3441</v>
      </c>
      <c r="T48" s="38">
        <v>3150</v>
      </c>
      <c r="U48" s="38">
        <v>1426</v>
      </c>
      <c r="V48" s="38">
        <v>775</v>
      </c>
      <c r="W48" s="38">
        <v>14384</v>
      </c>
      <c r="X48" s="38">
        <v>1798</v>
      </c>
      <c r="Y48" s="38">
        <v>0</v>
      </c>
      <c r="Z48" s="38"/>
      <c r="AA48" s="38">
        <v>5580</v>
      </c>
      <c r="AB48" s="38">
        <v>12183</v>
      </c>
      <c r="AC48" s="38">
        <v>403</v>
      </c>
      <c r="AD48" s="38">
        <v>7626</v>
      </c>
      <c r="AE48" s="38">
        <v>1859</v>
      </c>
      <c r="AF48" s="38">
        <v>1548</v>
      </c>
      <c r="AG48" s="38">
        <v>5549</v>
      </c>
      <c r="AH48" s="38">
        <v>1054</v>
      </c>
      <c r="AI48" s="49">
        <f>SUM(B48:AH48)</f>
        <v>85421</v>
      </c>
      <c r="AJ48">
        <f>+AA48+R48+W48+AB48+AD48+T48+AG48</f>
        <v>56718</v>
      </c>
      <c r="AK48" s="20">
        <f>+C48+H48+N48+Q48+S48+Y48+D48+X48+AE48+E48</f>
        <v>17700</v>
      </c>
      <c r="AL48">
        <f>+B48+P48+AC48+AH48+AF48+K48+L48+V48+U48+Z48+M48+J48+G48+F48+I48+O48</f>
        <v>11003</v>
      </c>
      <c r="AM48">
        <f>+Q48+V48+Y48+AH48+N48+H48+E48</f>
        <v>10788</v>
      </c>
      <c r="AN48" s="20">
        <f>+B48+C48+J48+K48+L48+P48+R48+S48+W48+AA48+AB48+AC48+AD48+AF48+T48+D48+AG48+X48+M48+F48+AE48</f>
        <v>72339</v>
      </c>
      <c r="AO48" s="20">
        <f>+Z48+U48+G48+I48+O48</f>
        <v>2294</v>
      </c>
      <c r="AP48">
        <f>+AJ48+AK48+AL48</f>
        <v>85421</v>
      </c>
      <c r="AQ48">
        <f>+AJ48+AK48+AL48</f>
        <v>85421</v>
      </c>
    </row>
    <row r="49" spans="1:43" x14ac:dyDescent="0.2">
      <c r="A49" t="s">
        <v>2</v>
      </c>
      <c r="B49" s="38">
        <v>28</v>
      </c>
      <c r="C49" s="38">
        <v>509</v>
      </c>
      <c r="D49" s="38"/>
      <c r="E49" s="38">
        <v>1250</v>
      </c>
      <c r="F49" s="38">
        <v>469</v>
      </c>
      <c r="G49" s="38">
        <v>49</v>
      </c>
      <c r="H49" s="38">
        <v>1179</v>
      </c>
      <c r="I49" s="38"/>
      <c r="J49" s="45">
        <v>1376</v>
      </c>
      <c r="K49" s="38">
        <v>944</v>
      </c>
      <c r="L49" s="38">
        <v>488</v>
      </c>
      <c r="M49" s="38">
        <v>0</v>
      </c>
      <c r="N49" s="38">
        <v>0</v>
      </c>
      <c r="O49" s="38">
        <v>175</v>
      </c>
      <c r="P49" s="38">
        <v>0</v>
      </c>
      <c r="Q49" s="38">
        <v>1446</v>
      </c>
      <c r="R49" s="38">
        <v>1682</v>
      </c>
      <c r="S49" s="38">
        <v>502</v>
      </c>
      <c r="T49" s="38">
        <v>1336</v>
      </c>
      <c r="U49" s="38">
        <v>684</v>
      </c>
      <c r="V49" s="38">
        <v>581</v>
      </c>
      <c r="W49" s="38">
        <v>4124</v>
      </c>
      <c r="X49" s="38">
        <v>773</v>
      </c>
      <c r="Y49" s="38">
        <v>0</v>
      </c>
      <c r="Z49" s="38"/>
      <c r="AA49" s="38">
        <v>3615</v>
      </c>
      <c r="AB49" s="38">
        <v>7103</v>
      </c>
      <c r="AC49" s="38">
        <v>176</v>
      </c>
      <c r="AD49" s="38">
        <v>6253</v>
      </c>
      <c r="AE49" s="38">
        <v>799</v>
      </c>
      <c r="AF49" s="38">
        <v>648</v>
      </c>
      <c r="AG49" s="38">
        <v>5124</v>
      </c>
      <c r="AH49" s="38">
        <v>347</v>
      </c>
      <c r="AI49" s="49">
        <f>SUM(B49:AH49)</f>
        <v>41660</v>
      </c>
      <c r="AJ49">
        <f>+AA49+R49+W49+AB49+AD49+T49+AG49</f>
        <v>29237</v>
      </c>
      <c r="AK49" s="48">
        <f>+C49+H49+N49+Q49+S49+Y49+D49+X49+AE49+E49</f>
        <v>6458</v>
      </c>
      <c r="AL49">
        <f>+B49+P49+AC49+AH49+AF49+K49+L49+V49+U49+Z49+M49+J49+G49+F49+I49+O49</f>
        <v>5965</v>
      </c>
      <c r="AM49">
        <f>+Q49+V49+Y49+AH49+N49+H49+E49</f>
        <v>4803</v>
      </c>
      <c r="AN49" s="20">
        <f>+B49+C49+J49+K49+L49+P49+R49+S49+W49+AA49+AB49+AC49+AD49+AF49+T49+D49+AG49+X49+M49+F49+AE49</f>
        <v>35949</v>
      </c>
      <c r="AO49" s="20">
        <f>+Z49+U49+G49+I49+O49</f>
        <v>908</v>
      </c>
      <c r="AP49">
        <f>+AJ49+AK49+AL49</f>
        <v>41660</v>
      </c>
      <c r="AQ49">
        <f>+AJ49+AK49+AL49</f>
        <v>41660</v>
      </c>
    </row>
    <row r="50" spans="1:43" x14ac:dyDescent="0.2">
      <c r="A50" t="s">
        <v>4</v>
      </c>
      <c r="B50" s="3">
        <f>+B49/B48</f>
        <v>4.2296072507552872E-2</v>
      </c>
      <c r="C50" s="3">
        <f>+C49/C48</f>
        <v>0.30979914790018259</v>
      </c>
      <c r="D50" s="3"/>
      <c r="E50" s="3">
        <f t="shared" ref="E50:L50" si="16">+E49/E48</f>
        <v>0.36993193252441553</v>
      </c>
      <c r="F50" s="3">
        <f t="shared" si="16"/>
        <v>0.88994307400379502</v>
      </c>
      <c r="G50" s="3">
        <f t="shared" si="16"/>
        <v>0.11290322580645161</v>
      </c>
      <c r="H50" s="3">
        <f t="shared" si="16"/>
        <v>0.46380802517702596</v>
      </c>
      <c r="I50" s="3"/>
      <c r="J50" s="3">
        <f t="shared" si="16"/>
        <v>0.7700055959709009</v>
      </c>
      <c r="K50" s="3">
        <f t="shared" si="16"/>
        <v>0.80135823429541597</v>
      </c>
      <c r="L50" s="3">
        <f t="shared" si="16"/>
        <v>0.62967741935483867</v>
      </c>
      <c r="M50" s="3">
        <v>0</v>
      </c>
      <c r="N50" s="3">
        <v>0</v>
      </c>
      <c r="O50" s="3">
        <f>+O49/O48</f>
        <v>0.40322580645161288</v>
      </c>
      <c r="P50" s="3">
        <v>0</v>
      </c>
      <c r="Q50" s="3">
        <f t="shared" ref="Q50:W50" si="17">+Q49/Q48</f>
        <v>0.4759710335747202</v>
      </c>
      <c r="R50" s="3">
        <f t="shared" si="17"/>
        <v>0.20397768615086104</v>
      </c>
      <c r="S50" s="3">
        <f t="shared" si="17"/>
        <v>0.14588782330717814</v>
      </c>
      <c r="T50" s="3">
        <f t="shared" si="17"/>
        <v>0.42412698412698413</v>
      </c>
      <c r="U50" s="3">
        <f t="shared" si="17"/>
        <v>0.4796633941093969</v>
      </c>
      <c r="V50" s="3">
        <f t="shared" si="17"/>
        <v>0.74967741935483867</v>
      </c>
      <c r="W50" s="3">
        <f t="shared" si="17"/>
        <v>0.28670745272525028</v>
      </c>
      <c r="X50" s="3">
        <f>+X49/X48</f>
        <v>0.42992213570634036</v>
      </c>
      <c r="Y50" s="3">
        <v>0</v>
      </c>
      <c r="Z50" s="3">
        <v>0</v>
      </c>
      <c r="AA50" s="3">
        <f>+AA49/AA48</f>
        <v>0.64784946236559138</v>
      </c>
      <c r="AB50" s="3">
        <f>+AB49/AB48</f>
        <v>0.58302552737420998</v>
      </c>
      <c r="AC50" s="3">
        <f>+AC49/AC48</f>
        <v>0.43672456575682383</v>
      </c>
      <c r="AD50" s="3">
        <f>+AD49/AD48</f>
        <v>0.81995803829006031</v>
      </c>
      <c r="AE50" s="3">
        <f>+AE49/AE48</f>
        <v>0.42980096826250674</v>
      </c>
      <c r="AF50" s="3">
        <f t="shared" ref="AF50:AO50" si="18">+AF49/AF48</f>
        <v>0.41860465116279072</v>
      </c>
      <c r="AG50" s="3">
        <f t="shared" si="18"/>
        <v>0.92340962335555954</v>
      </c>
      <c r="AH50" s="3">
        <f t="shared" si="18"/>
        <v>0.32922201138519924</v>
      </c>
      <c r="AI50" s="6">
        <f t="shared" si="18"/>
        <v>0.48770208730874143</v>
      </c>
      <c r="AJ50" s="3">
        <f t="shared" si="18"/>
        <v>0.515480094502627</v>
      </c>
      <c r="AK50" s="3">
        <f t="shared" si="18"/>
        <v>0.36485875706214688</v>
      </c>
      <c r="AL50" s="3">
        <f t="shared" si="18"/>
        <v>0.54212487503408158</v>
      </c>
      <c r="AM50" s="3">
        <f t="shared" si="18"/>
        <v>0.44521690767519467</v>
      </c>
      <c r="AN50" s="3">
        <f t="shared" si="18"/>
        <v>0.49695185169825407</v>
      </c>
      <c r="AO50" s="3">
        <f t="shared" si="18"/>
        <v>0.39581517000871841</v>
      </c>
    </row>
    <row r="51" spans="1:43" x14ac:dyDescent="0.2">
      <c r="A51" s="20"/>
      <c r="B51" s="20">
        <v>1</v>
      </c>
      <c r="C51" s="39">
        <v>1</v>
      </c>
      <c r="D51" s="39"/>
      <c r="E51" s="39">
        <v>1</v>
      </c>
      <c r="F51" s="39">
        <v>1</v>
      </c>
      <c r="G51" s="39">
        <v>1</v>
      </c>
      <c r="H51" s="39">
        <v>1</v>
      </c>
      <c r="I51" s="39"/>
      <c r="J51" s="39">
        <v>1</v>
      </c>
      <c r="K51" s="39">
        <v>1</v>
      </c>
      <c r="L51" s="39">
        <v>1</v>
      </c>
      <c r="M51" s="39"/>
      <c r="N51" s="39"/>
      <c r="O51" s="39">
        <v>1</v>
      </c>
      <c r="P51" s="39"/>
      <c r="Q51" s="39">
        <v>1</v>
      </c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>
        <v>1</v>
      </c>
      <c r="Y51" s="39"/>
      <c r="Z51" s="39"/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49">
        <f>SUM(B51:AH51)</f>
        <v>26</v>
      </c>
      <c r="AJ51" s="20">
        <f>+AA51+R51+W51+AB51+AD51+T51+AG51</f>
        <v>7</v>
      </c>
      <c r="AK51" s="20">
        <f>+C51+H51+N51+Q51+S51+Y51+D51+X51+AE51+E51</f>
        <v>7</v>
      </c>
      <c r="AL51" s="20">
        <f>+B51+P51+AC51+AH51+AF51+K51+L51+V51+U51+Z51+M51+J51+G51+F51+I51+O51</f>
        <v>12</v>
      </c>
      <c r="AM51" s="20">
        <f>+Q51+V51+Y51+AH51+N51+H51+E51</f>
        <v>5</v>
      </c>
      <c r="AN51" s="20">
        <f>+B51+C51+J51+K51+L51+P51+R51+S51+W51+AA51+AB51+AC51+AD51+AF51+T51+D51+AG51+X51+M51+F51+AE51</f>
        <v>18</v>
      </c>
      <c r="AO51" s="20">
        <f>+Z51+U51+G51+I51+O51</f>
        <v>3</v>
      </c>
    </row>
    <row r="52" spans="1:43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19"/>
      <c r="AJ52" s="20"/>
      <c r="AK52" s="20"/>
      <c r="AL52" s="20"/>
      <c r="AM52" s="20"/>
      <c r="AN52" s="20"/>
      <c r="AO52" s="20"/>
    </row>
    <row r="53" spans="1:43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  <c r="AE53" s="1"/>
      <c r="AI53" s="5"/>
    </row>
    <row r="54" spans="1:43" x14ac:dyDescent="0.2">
      <c r="A54" t="s">
        <v>1</v>
      </c>
      <c r="B54" s="38">
        <v>0</v>
      </c>
      <c r="C54" s="38">
        <v>1590</v>
      </c>
      <c r="D54" s="38"/>
      <c r="E54" s="38">
        <v>3270</v>
      </c>
      <c r="F54" s="38">
        <v>510</v>
      </c>
      <c r="G54" s="38">
        <v>420</v>
      </c>
      <c r="H54" s="38">
        <v>0</v>
      </c>
      <c r="I54" s="38"/>
      <c r="J54" s="38">
        <v>1729</v>
      </c>
      <c r="K54" s="38">
        <v>1140</v>
      </c>
      <c r="L54" s="38">
        <v>750</v>
      </c>
      <c r="M54" s="38">
        <v>0</v>
      </c>
      <c r="N54" s="38">
        <v>0</v>
      </c>
      <c r="O54" s="38">
        <v>420</v>
      </c>
      <c r="P54" s="38">
        <v>0</v>
      </c>
      <c r="Q54" s="38">
        <v>2940</v>
      </c>
      <c r="R54" s="38"/>
      <c r="S54" s="38">
        <v>3330</v>
      </c>
      <c r="T54" s="38">
        <v>6300</v>
      </c>
      <c r="U54" s="38">
        <v>1380</v>
      </c>
      <c r="V54" s="38">
        <v>0</v>
      </c>
      <c r="W54" s="38">
        <v>13920</v>
      </c>
      <c r="X54" s="38">
        <v>0</v>
      </c>
      <c r="Y54" s="38">
        <v>0</v>
      </c>
      <c r="Z54" s="38"/>
      <c r="AA54" s="38">
        <v>5400</v>
      </c>
      <c r="AB54" s="38">
        <v>11790</v>
      </c>
      <c r="AC54" s="38">
        <v>390</v>
      </c>
      <c r="AD54" s="38">
        <v>7320</v>
      </c>
      <c r="AE54" s="38">
        <v>1799</v>
      </c>
      <c r="AF54" s="38">
        <v>1440</v>
      </c>
      <c r="AG54" s="38">
        <v>5400</v>
      </c>
      <c r="AH54" s="38">
        <v>0</v>
      </c>
      <c r="AI54" s="50">
        <f>SUM(B54:AH54)</f>
        <v>71238</v>
      </c>
      <c r="AJ54">
        <f>+AA54+R54+W54+AB54+AD54+T54+AG54</f>
        <v>50130</v>
      </c>
      <c r="AK54" s="20">
        <f>+C54+H54+N54+Q54+S54+Y54+D54+X54+AE54+E54</f>
        <v>12929</v>
      </c>
      <c r="AL54">
        <f>+B54+P54+AC54+AH54+AF54+K54+L54+V54+U54+Z54+M54+J54+G54+F54+I54+O54</f>
        <v>8179</v>
      </c>
      <c r="AM54">
        <f>+Q54+V54+Y54+AH54+N54+H54+E54</f>
        <v>6210</v>
      </c>
      <c r="AN54" s="20">
        <f>+B54+C54+J54+K54+L54+P54+R54+S54+W54+AA54+AB54+AC54+AD54+AF54+T54+D54+AG54+X54+M54+F54+AE54</f>
        <v>62808</v>
      </c>
      <c r="AO54" s="20">
        <f>+Z54+U54+G54+I54+O54</f>
        <v>2220</v>
      </c>
      <c r="AP54">
        <f>+AJ54+AK54+AL54</f>
        <v>71238</v>
      </c>
      <c r="AQ54">
        <f>+AM54+AN54+AO54</f>
        <v>71238</v>
      </c>
    </row>
    <row r="55" spans="1:43" x14ac:dyDescent="0.2">
      <c r="A55" t="s">
        <v>2</v>
      </c>
      <c r="B55" s="38">
        <v>0</v>
      </c>
      <c r="C55" s="38">
        <v>239</v>
      </c>
      <c r="D55" s="38"/>
      <c r="E55" s="38">
        <v>883</v>
      </c>
      <c r="F55" s="38">
        <v>393</v>
      </c>
      <c r="G55" s="38">
        <v>19</v>
      </c>
      <c r="H55" s="38">
        <v>0</v>
      </c>
      <c r="I55" s="38"/>
      <c r="J55" s="38">
        <v>1210</v>
      </c>
      <c r="K55" s="38">
        <v>842</v>
      </c>
      <c r="L55" s="38">
        <v>542</v>
      </c>
      <c r="M55" s="38">
        <v>0</v>
      </c>
      <c r="N55" s="38">
        <v>0</v>
      </c>
      <c r="O55" s="38">
        <v>80</v>
      </c>
      <c r="P55" s="38">
        <v>0</v>
      </c>
      <c r="Q55" s="38">
        <v>1908</v>
      </c>
      <c r="R55" s="38"/>
      <c r="S55" s="38">
        <v>243</v>
      </c>
      <c r="T55" s="38">
        <v>1531</v>
      </c>
      <c r="U55" s="38">
        <v>662</v>
      </c>
      <c r="V55" s="38">
        <v>0</v>
      </c>
      <c r="W55" s="38">
        <v>2853</v>
      </c>
      <c r="X55" s="38">
        <v>0</v>
      </c>
      <c r="Y55" s="38">
        <v>0</v>
      </c>
      <c r="Z55" s="38"/>
      <c r="AA55" s="38">
        <f>+AA54*0.74</f>
        <v>3996</v>
      </c>
      <c r="AB55" s="38">
        <v>7711</v>
      </c>
      <c r="AC55" s="38">
        <v>151</v>
      </c>
      <c r="AD55" s="38">
        <v>4697</v>
      </c>
      <c r="AE55" s="38">
        <v>705</v>
      </c>
      <c r="AF55" s="38">
        <v>544</v>
      </c>
      <c r="AG55" s="38">
        <v>4191</v>
      </c>
      <c r="AH55" s="38">
        <v>0</v>
      </c>
      <c r="AI55" s="50">
        <f>SUM(B55:AH55)</f>
        <v>33400</v>
      </c>
      <c r="AJ55">
        <f>+AA55+R55+W55+AB55+AD55+T55+AG55</f>
        <v>24979</v>
      </c>
      <c r="AK55" s="48">
        <f>+C55+H55+N55+Q55+S55+Y55+D55+X55+AE55+E55</f>
        <v>3978</v>
      </c>
      <c r="AL55">
        <f>+B55+P55+AC55+AH55+AF55+K55+L55+V55+U55+Z55+M55+J55+G55+F55+I55+O55</f>
        <v>4443</v>
      </c>
      <c r="AM55">
        <f>+Q55+V55+Y55+AH55+N55+H55+E55</f>
        <v>2791</v>
      </c>
      <c r="AN55" s="20">
        <f>+B55+C55+J55+K55+L55+P55+R55+S55+W55+AA55+AB55+AC55+AD55+AF55+T55+D55+AG55+X55+M55+F55+AE55</f>
        <v>29848</v>
      </c>
      <c r="AO55" s="20">
        <f>+Z55+U55+G55+I55+O55</f>
        <v>761</v>
      </c>
      <c r="AP55">
        <f>+AJ55+AK55+AL55</f>
        <v>33400</v>
      </c>
      <c r="AQ55">
        <f>+AM55+AN55+AO55</f>
        <v>33400</v>
      </c>
    </row>
    <row r="56" spans="1:43" x14ac:dyDescent="0.2">
      <c r="A56" t="s">
        <v>4</v>
      </c>
      <c r="B56" s="3">
        <v>0</v>
      </c>
      <c r="C56" s="3">
        <f>+C55/C54</f>
        <v>0.15031446540880503</v>
      </c>
      <c r="D56" s="3"/>
      <c r="E56" s="3">
        <f>+E55/E54</f>
        <v>0.27003058103975536</v>
      </c>
      <c r="F56" s="3">
        <f>+F55/F54</f>
        <v>0.77058823529411768</v>
      </c>
      <c r="G56" s="3">
        <f>+G55/G54</f>
        <v>4.5238095238095237E-2</v>
      </c>
      <c r="H56" s="3">
        <v>0</v>
      </c>
      <c r="I56" s="3" t="e">
        <f>+I55/I54</f>
        <v>#DIV/0!</v>
      </c>
      <c r="J56" s="3">
        <f>+J55/J54</f>
        <v>0.69982648930017355</v>
      </c>
      <c r="K56" s="3">
        <f>+K55/K54</f>
        <v>0.73859649122807014</v>
      </c>
      <c r="L56" s="3">
        <f>+L55/L54</f>
        <v>0.72266666666666668</v>
      </c>
      <c r="M56" s="3">
        <v>0</v>
      </c>
      <c r="N56" s="3">
        <v>0</v>
      </c>
      <c r="O56" s="3">
        <f>+O55/O54</f>
        <v>0.19047619047619047</v>
      </c>
      <c r="P56" s="3">
        <v>0</v>
      </c>
      <c r="Q56" s="3">
        <f>+Q55/Q54</f>
        <v>0.6489795918367347</v>
      </c>
      <c r="R56" s="3" t="e">
        <f>+R55/R54</f>
        <v>#DIV/0!</v>
      </c>
      <c r="S56" s="3">
        <f>+S55/S54</f>
        <v>7.2972972972972977E-2</v>
      </c>
      <c r="T56" s="3">
        <f>+T55/T54</f>
        <v>0.24301587301587302</v>
      </c>
      <c r="U56" s="3">
        <f>+U55/U54</f>
        <v>0.47971014492753622</v>
      </c>
      <c r="V56" s="3">
        <v>0</v>
      </c>
      <c r="W56" s="3">
        <f>+W55/W54</f>
        <v>0.20495689655172414</v>
      </c>
      <c r="X56" s="3">
        <v>0</v>
      </c>
      <c r="Y56" s="3">
        <v>0</v>
      </c>
      <c r="Z56" s="3">
        <v>0</v>
      </c>
      <c r="AA56" s="3">
        <f t="shared" ref="AA56:AG56" si="19">+AA55/AA54</f>
        <v>0.74</v>
      </c>
      <c r="AB56" s="3">
        <f t="shared" si="19"/>
        <v>0.65402883799830369</v>
      </c>
      <c r="AC56" s="3">
        <f t="shared" si="19"/>
        <v>0.38717948717948719</v>
      </c>
      <c r="AD56" s="3">
        <f t="shared" si="19"/>
        <v>0.64166666666666672</v>
      </c>
      <c r="AE56" s="3">
        <f t="shared" si="19"/>
        <v>0.39188438021122846</v>
      </c>
      <c r="AF56" s="3">
        <f t="shared" si="19"/>
        <v>0.37777777777777777</v>
      </c>
      <c r="AG56" s="3">
        <f t="shared" si="19"/>
        <v>0.77611111111111108</v>
      </c>
      <c r="AH56" s="3">
        <v>0</v>
      </c>
      <c r="AI56" s="6">
        <f t="shared" ref="AI56:AO56" si="20">+AI55/AI54</f>
        <v>0.46885089418568743</v>
      </c>
      <c r="AJ56" s="3">
        <f t="shared" si="20"/>
        <v>0.49828446040295232</v>
      </c>
      <c r="AK56" s="3">
        <f t="shared" si="20"/>
        <v>0.30768040838425248</v>
      </c>
      <c r="AL56" s="3">
        <f t="shared" si="20"/>
        <v>0.5432204425968945</v>
      </c>
      <c r="AM56" s="3">
        <f t="shared" si="20"/>
        <v>0.44943639291465376</v>
      </c>
      <c r="AN56" s="3">
        <f t="shared" si="20"/>
        <v>0.47522608584893644</v>
      </c>
      <c r="AO56" s="3">
        <f t="shared" si="20"/>
        <v>0.34279279279279279</v>
      </c>
    </row>
    <row r="57" spans="1:43" x14ac:dyDescent="0.2">
      <c r="A57" s="20"/>
      <c r="B57" s="20"/>
      <c r="C57" s="20">
        <v>1</v>
      </c>
      <c r="D57" s="20"/>
      <c r="E57" s="20">
        <v>1</v>
      </c>
      <c r="F57" s="20">
        <v>1</v>
      </c>
      <c r="G57" s="20">
        <v>1</v>
      </c>
      <c r="H57" s="20"/>
      <c r="I57" s="20"/>
      <c r="J57" s="20">
        <v>1</v>
      </c>
      <c r="K57" s="20">
        <v>1</v>
      </c>
      <c r="L57" s="20">
        <v>1</v>
      </c>
      <c r="M57" s="20"/>
      <c r="N57" s="20"/>
      <c r="O57" s="20">
        <v>1</v>
      </c>
      <c r="P57" s="20"/>
      <c r="Q57" s="20">
        <v>1</v>
      </c>
      <c r="R57" s="20"/>
      <c r="S57" s="20">
        <v>1</v>
      </c>
      <c r="T57" s="20">
        <v>1</v>
      </c>
      <c r="U57" s="20">
        <v>1</v>
      </c>
      <c r="V57" s="20"/>
      <c r="W57" s="20">
        <v>1</v>
      </c>
      <c r="X57" s="20"/>
      <c r="Y57" s="20"/>
      <c r="Z57" s="20"/>
      <c r="AA57" s="20">
        <v>1</v>
      </c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>
        <v>1</v>
      </c>
      <c r="AH57" s="20"/>
      <c r="AI57" s="50">
        <f>SUM(B57:AH57)</f>
        <v>20</v>
      </c>
      <c r="AJ57" s="20">
        <f>+AA57+R57+W57+AB57+AD57+T57+AG57</f>
        <v>6</v>
      </c>
      <c r="AK57" s="20">
        <f>+C57+H57+N57+Q57+S57+Y57+D57+X57+AE57+E57</f>
        <v>5</v>
      </c>
      <c r="AL57" s="20">
        <f>+B57+P57+AC57+AH57+AF57+K57+L57+V57+U57+Z57+M57+J57+G57+F57+I57+O57</f>
        <v>9</v>
      </c>
      <c r="AM57" s="20">
        <f>+Q57+V57+Y57+AH57+N57+H57+E57</f>
        <v>2</v>
      </c>
      <c r="AN57" s="20">
        <f>+B57+C57+J57+K57+L57+P57+R57+S57+W57+AA57+AB57+AC57+AD57+AF57+T57+D57+AG57+X57+M57+F57+AE57</f>
        <v>15</v>
      </c>
      <c r="AO57" s="20">
        <f>+Z57+U57+G57+I57+O57</f>
        <v>3</v>
      </c>
    </row>
    <row r="58" spans="1:43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19"/>
      <c r="AJ58" s="20"/>
      <c r="AK58" s="20"/>
      <c r="AL58" s="20"/>
      <c r="AM58" s="20"/>
      <c r="AN58" s="20"/>
      <c r="AO58" s="20"/>
    </row>
    <row r="59" spans="1:43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4"/>
      <c r="AC59" s="1"/>
      <c r="AD59" s="1"/>
      <c r="AE59" s="1"/>
      <c r="AI59" s="5"/>
    </row>
    <row r="60" spans="1:43" x14ac:dyDescent="0.2">
      <c r="A60" t="s">
        <v>1</v>
      </c>
      <c r="B60" s="38">
        <v>662</v>
      </c>
      <c r="C60" s="38">
        <v>1643</v>
      </c>
      <c r="D60" s="38"/>
      <c r="E60" s="38">
        <v>3379</v>
      </c>
      <c r="F60" s="38">
        <v>527</v>
      </c>
      <c r="G60" s="38">
        <v>434</v>
      </c>
      <c r="H60" s="38">
        <f>2542/31*20</f>
        <v>1640</v>
      </c>
      <c r="I60" s="38"/>
      <c r="J60" s="38">
        <v>1787</v>
      </c>
      <c r="K60" s="38">
        <v>1178</v>
      </c>
      <c r="L60" s="38">
        <v>775</v>
      </c>
      <c r="M60" s="38">
        <v>434</v>
      </c>
      <c r="N60" s="38">
        <f>72*5</f>
        <v>360</v>
      </c>
      <c r="O60" s="38">
        <v>434</v>
      </c>
      <c r="P60" s="38">
        <v>0</v>
      </c>
      <c r="Q60" s="38">
        <v>3038</v>
      </c>
      <c r="R60" s="38">
        <v>0</v>
      </c>
      <c r="S60" s="38">
        <v>3441</v>
      </c>
      <c r="T60" s="38">
        <f>6300/30*31</f>
        <v>6510</v>
      </c>
      <c r="U60" s="38">
        <v>1426</v>
      </c>
      <c r="V60" s="38">
        <f>775/31*22</f>
        <v>550</v>
      </c>
      <c r="W60" s="38">
        <v>14384</v>
      </c>
      <c r="X60" s="38">
        <f>1798/31*19</f>
        <v>1102</v>
      </c>
      <c r="Y60" s="38">
        <f>1240/31*22</f>
        <v>880</v>
      </c>
      <c r="Z60" s="38"/>
      <c r="AA60" s="38">
        <v>5580</v>
      </c>
      <c r="AB60" s="38">
        <v>12183</v>
      </c>
      <c r="AC60" s="38">
        <v>403</v>
      </c>
      <c r="AD60" s="38">
        <v>7657</v>
      </c>
      <c r="AE60" s="38">
        <v>1859</v>
      </c>
      <c r="AF60" s="38">
        <v>1488</v>
      </c>
      <c r="AG60" s="38">
        <v>5580</v>
      </c>
      <c r="AH60" s="38">
        <v>0</v>
      </c>
      <c r="AI60" s="51">
        <f>SUM(B60:AH60)</f>
        <v>79334</v>
      </c>
      <c r="AJ60">
        <f>+AA60+R60+W60+AB60+AD60+T60+AG60</f>
        <v>51894</v>
      </c>
      <c r="AK60" s="20">
        <f>+C60+H60+N60+Q60+S60+Y60+D60+X60+AE60+E60</f>
        <v>17342</v>
      </c>
      <c r="AL60">
        <f>+B60+P60+AC60+AH60+AF60+K60+L60+V60+U60+Z60+M60+J60+G60+F60+I60+O60</f>
        <v>10098</v>
      </c>
      <c r="AM60">
        <f>+Q60+V60+Y60+AH60+N60+H60+E60</f>
        <v>9847</v>
      </c>
      <c r="AN60" s="20">
        <f>+B60+C60+J60+K60+L60+P60+R60+S60+W60+AA60+AB60+AC60+AD60+AF60+T60+D60+AG60+X60+M60+F60+AE60</f>
        <v>67193</v>
      </c>
      <c r="AO60" s="20">
        <f>+Z60+U60+G60+I60+O60</f>
        <v>2294</v>
      </c>
      <c r="AP60">
        <f>+AJ60+AK60+AL60</f>
        <v>79334</v>
      </c>
      <c r="AQ60">
        <f>+AM60+AN60+AO60</f>
        <v>79334</v>
      </c>
    </row>
    <row r="61" spans="1:43" x14ac:dyDescent="0.2">
      <c r="A61" t="s">
        <v>2</v>
      </c>
      <c r="B61" s="38">
        <v>152</v>
      </c>
      <c r="C61" s="38">
        <v>263</v>
      </c>
      <c r="D61" s="38"/>
      <c r="E61" s="38">
        <v>1385</v>
      </c>
      <c r="F61" s="38">
        <v>338</v>
      </c>
      <c r="G61" s="38">
        <v>82</v>
      </c>
      <c r="H61" s="38">
        <v>868</v>
      </c>
      <c r="I61" s="38"/>
      <c r="J61" s="38">
        <v>1340</v>
      </c>
      <c r="K61" s="38">
        <v>978</v>
      </c>
      <c r="L61" s="38">
        <v>511</v>
      </c>
      <c r="M61" s="38">
        <v>37</v>
      </c>
      <c r="N61" s="38">
        <v>138</v>
      </c>
      <c r="O61" s="38">
        <v>76</v>
      </c>
      <c r="P61" s="38">
        <v>0</v>
      </c>
      <c r="Q61" s="38">
        <v>2514</v>
      </c>
      <c r="R61" s="38">
        <v>0</v>
      </c>
      <c r="S61" s="38">
        <v>351</v>
      </c>
      <c r="T61" s="38">
        <v>1133</v>
      </c>
      <c r="U61" s="38">
        <v>499</v>
      </c>
      <c r="V61" s="38">
        <f>+V60*0.7</f>
        <v>385</v>
      </c>
      <c r="W61" s="38">
        <v>3264</v>
      </c>
      <c r="X61" s="38">
        <v>220</v>
      </c>
      <c r="Y61" s="38">
        <v>502</v>
      </c>
      <c r="Z61" s="38"/>
      <c r="AA61" s="38">
        <v>4219</v>
      </c>
      <c r="AB61" s="38">
        <v>9686</v>
      </c>
      <c r="AC61" s="38">
        <v>184</v>
      </c>
      <c r="AD61" s="38">
        <v>4712</v>
      </c>
      <c r="AE61" s="38">
        <v>818</v>
      </c>
      <c r="AF61" s="38">
        <v>562</v>
      </c>
      <c r="AG61" s="38">
        <v>4166</v>
      </c>
      <c r="AH61" s="38">
        <v>0</v>
      </c>
      <c r="AI61" s="51">
        <f>SUM(B61:AH61)</f>
        <v>39383</v>
      </c>
      <c r="AJ61">
        <f>+AA61+R61+W61+AB61+AD61+T61+AG61</f>
        <v>27180</v>
      </c>
      <c r="AK61" s="48">
        <f>+C61+H61+N61+Q61+S61+Y61+D61+X61+AE61+E61</f>
        <v>7059</v>
      </c>
      <c r="AL61">
        <f>+B61+P61+AC61+AH61+AF61+K61+L61+V61+U61+Z61+M61+J61+G61+F61+I61+O61</f>
        <v>5144</v>
      </c>
      <c r="AM61">
        <f>+Q61+V61+Y61+AH61+N61+H61+E61</f>
        <v>5792</v>
      </c>
      <c r="AN61" s="20">
        <f>+B61+C61+J61+K61+L61+P61+R61+S61+W61+AA61+AB61+AC61+AD61+AF61+T61+D61+AG61+X61+M61+F61+AE61</f>
        <v>32934</v>
      </c>
      <c r="AO61" s="20">
        <f>+Z61+U61+G61+I61+O61</f>
        <v>657</v>
      </c>
      <c r="AP61">
        <f>+AJ61+AK61+AL61</f>
        <v>39383</v>
      </c>
      <c r="AQ61">
        <f>+AM61+AN61+AO61</f>
        <v>39383</v>
      </c>
    </row>
    <row r="62" spans="1:43" x14ac:dyDescent="0.2">
      <c r="A62" t="s">
        <v>4</v>
      </c>
      <c r="B62" s="3">
        <f>+B61/B60</f>
        <v>0.22960725075528701</v>
      </c>
      <c r="C62" s="3">
        <f>+C61/C60</f>
        <v>0.16007303712720633</v>
      </c>
      <c r="D62" s="3"/>
      <c r="E62" s="3">
        <f t="shared" ref="E62:M62" si="21">+E61/E60</f>
        <v>0.4098845812370524</v>
      </c>
      <c r="F62" s="3">
        <f t="shared" si="21"/>
        <v>0.6413662239089184</v>
      </c>
      <c r="G62" s="3">
        <f t="shared" si="21"/>
        <v>0.1889400921658986</v>
      </c>
      <c r="H62" s="3">
        <f t="shared" si="21"/>
        <v>0.52926829268292686</v>
      </c>
      <c r="I62" s="3" t="e">
        <f t="shared" si="21"/>
        <v>#DIV/0!</v>
      </c>
      <c r="J62" s="3">
        <f t="shared" si="21"/>
        <v>0.74986010072747622</v>
      </c>
      <c r="K62" s="3">
        <f t="shared" si="21"/>
        <v>0.83022071307300505</v>
      </c>
      <c r="L62" s="3">
        <f t="shared" si="21"/>
        <v>0.65935483870967737</v>
      </c>
      <c r="M62" s="3">
        <f t="shared" si="21"/>
        <v>8.5253456221198162E-2</v>
      </c>
      <c r="N62" s="3">
        <f>+N61/N60</f>
        <v>0.38333333333333336</v>
      </c>
      <c r="O62" s="3">
        <f>+O61/O60</f>
        <v>0.17511520737327188</v>
      </c>
      <c r="P62" s="3">
        <v>0</v>
      </c>
      <c r="Q62" s="3">
        <f t="shared" ref="Q62:Y62" si="22">+Q61/Q60</f>
        <v>0.82751810401579984</v>
      </c>
      <c r="R62" s="3">
        <v>0</v>
      </c>
      <c r="S62" s="3">
        <f t="shared" si="22"/>
        <v>0.1020052310374891</v>
      </c>
      <c r="T62" s="3">
        <f t="shared" si="22"/>
        <v>0.17403993855606759</v>
      </c>
      <c r="U62" s="3">
        <f t="shared" si="22"/>
        <v>0.349929873772791</v>
      </c>
      <c r="V62" s="3">
        <f t="shared" si="22"/>
        <v>0.7</v>
      </c>
      <c r="W62" s="3">
        <f t="shared" si="22"/>
        <v>0.22691879866518352</v>
      </c>
      <c r="X62" s="3">
        <f t="shared" si="22"/>
        <v>0.19963702359346641</v>
      </c>
      <c r="Y62" s="3">
        <f t="shared" si="22"/>
        <v>0.57045454545454544</v>
      </c>
      <c r="Z62" s="3">
        <v>0</v>
      </c>
      <c r="AA62" s="3">
        <f t="shared" ref="AA62:AG62" si="23">+AA61/AA60</f>
        <v>0.75609318996415775</v>
      </c>
      <c r="AB62" s="3">
        <f t="shared" si="23"/>
        <v>0.79504227201838629</v>
      </c>
      <c r="AC62" s="3">
        <f t="shared" si="23"/>
        <v>0.45657568238213397</v>
      </c>
      <c r="AD62" s="3">
        <f t="shared" si="23"/>
        <v>0.61538461538461542</v>
      </c>
      <c r="AE62" s="3">
        <f t="shared" si="23"/>
        <v>0.44002151694459385</v>
      </c>
      <c r="AF62" s="3">
        <f t="shared" si="23"/>
        <v>0.37768817204301075</v>
      </c>
      <c r="AG62" s="3">
        <f t="shared" si="23"/>
        <v>0.746594982078853</v>
      </c>
      <c r="AH62" s="3">
        <v>0</v>
      </c>
      <c r="AI62" s="6">
        <f>+AI61/AI60</f>
        <v>0.49642019814959537</v>
      </c>
      <c r="AJ62" s="3">
        <f t="shared" ref="AJ62:AO62" si="24">+AJ61/AJ60</f>
        <v>0.52375997225112725</v>
      </c>
      <c r="AK62" s="3">
        <f t="shared" si="24"/>
        <v>0.4070464767616192</v>
      </c>
      <c r="AL62" s="3">
        <f t="shared" si="24"/>
        <v>0.50940780352545056</v>
      </c>
      <c r="AM62" s="3">
        <f t="shared" si="24"/>
        <v>0.58819945160962728</v>
      </c>
      <c r="AN62" s="3">
        <f t="shared" si="24"/>
        <v>0.49014034199991069</v>
      </c>
      <c r="AO62" s="3">
        <f t="shared" si="24"/>
        <v>0.28639930252833479</v>
      </c>
    </row>
    <row r="63" spans="1:43" x14ac:dyDescent="0.2">
      <c r="A63" s="20"/>
      <c r="B63" s="20">
        <v>1</v>
      </c>
      <c r="C63" s="20">
        <v>1</v>
      </c>
      <c r="D63" s="20"/>
      <c r="E63" s="20">
        <v>1</v>
      </c>
      <c r="F63" s="20">
        <v>1</v>
      </c>
      <c r="G63" s="20">
        <v>1</v>
      </c>
      <c r="H63" s="20">
        <v>1</v>
      </c>
      <c r="I63" s="20"/>
      <c r="J63" s="20">
        <v>1</v>
      </c>
      <c r="K63" s="20">
        <v>1</v>
      </c>
      <c r="L63" s="20">
        <v>1</v>
      </c>
      <c r="M63" s="20">
        <v>1</v>
      </c>
      <c r="N63" s="20">
        <v>1</v>
      </c>
      <c r="O63" s="20">
        <v>1</v>
      </c>
      <c r="P63" s="20"/>
      <c r="Q63" s="20">
        <v>1</v>
      </c>
      <c r="R63" s="20"/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/>
      <c r="AA63" s="20">
        <v>1</v>
      </c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/>
      <c r="AI63" s="51">
        <f>SUM(B63:AH63)</f>
        <v>27</v>
      </c>
      <c r="AJ63" s="20">
        <f>+AA63+R63+W63+AB63+AD63+T63+AG63</f>
        <v>6</v>
      </c>
      <c r="AK63" s="20">
        <f>+C63+H63+N63+Q63+S63+Y63+D63+X63+AE63+E63</f>
        <v>9</v>
      </c>
      <c r="AL63" s="20">
        <f>+B63+P63+AC63+AH63+AF63+K63+L63+V63+U63+Z63+M63+J63+G63+F63+I63+O63</f>
        <v>12</v>
      </c>
      <c r="AM63" s="20">
        <f>+Q63+V63+Y63+AH63+N63+H63+E63</f>
        <v>6</v>
      </c>
      <c r="AN63" s="20">
        <f>+B63+C63+J63+K63+L63+P63+R63+S63+W63+AA63+AB63+AC63+AD63+AF63+T63+D63+AG63+X63+M63+F63+AE63</f>
        <v>18</v>
      </c>
      <c r="AO63" s="20">
        <f>+Z63+U63+G63+I63+O63</f>
        <v>3</v>
      </c>
    </row>
    <row r="64" spans="1:43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19"/>
      <c r="AJ64" s="20"/>
      <c r="AK64" s="20"/>
      <c r="AL64" s="20"/>
      <c r="AM64" s="20"/>
      <c r="AN64" s="20"/>
      <c r="AO64" s="20"/>
    </row>
    <row r="65" spans="1:42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  <c r="AE65" s="1"/>
      <c r="AI65" s="5"/>
    </row>
    <row r="66" spans="1:42" x14ac:dyDescent="0.2">
      <c r="A66" t="s">
        <v>1</v>
      </c>
      <c r="B66" s="38">
        <f>18*30</f>
        <v>540</v>
      </c>
      <c r="C66" s="38">
        <v>1590</v>
      </c>
      <c r="D66" s="38"/>
      <c r="E66" s="38">
        <v>3270</v>
      </c>
      <c r="F66" s="38">
        <v>510</v>
      </c>
      <c r="G66" s="38">
        <v>420</v>
      </c>
      <c r="H66" s="38">
        <v>2460</v>
      </c>
      <c r="I66" s="38"/>
      <c r="J66" s="38">
        <v>1729</v>
      </c>
      <c r="K66" s="38">
        <v>1140</v>
      </c>
      <c r="L66" s="38">
        <v>750</v>
      </c>
      <c r="M66" s="38">
        <v>420</v>
      </c>
      <c r="N66" s="38">
        <v>2160</v>
      </c>
      <c r="O66" s="38">
        <v>420</v>
      </c>
      <c r="P66" s="38">
        <v>660</v>
      </c>
      <c r="Q66" s="38">
        <v>2940</v>
      </c>
      <c r="R66" s="38">
        <v>7980</v>
      </c>
      <c r="S66" s="38">
        <v>3330</v>
      </c>
      <c r="T66" s="38">
        <v>6300</v>
      </c>
      <c r="U66" s="38">
        <v>1380</v>
      </c>
      <c r="V66" s="38">
        <v>750</v>
      </c>
      <c r="W66" s="38">
        <v>13920</v>
      </c>
      <c r="X66" s="38">
        <v>1740</v>
      </c>
      <c r="Y66" s="38">
        <v>1200</v>
      </c>
      <c r="Z66" s="38"/>
      <c r="AA66" s="38">
        <v>5400</v>
      </c>
      <c r="AB66" s="38">
        <v>11790</v>
      </c>
      <c r="AC66" s="38">
        <v>390</v>
      </c>
      <c r="AD66" s="38">
        <v>7410</v>
      </c>
      <c r="AE66" s="38">
        <v>1799</v>
      </c>
      <c r="AF66" s="38">
        <v>1470</v>
      </c>
      <c r="AG66" s="38">
        <v>5400</v>
      </c>
      <c r="AH66" s="38">
        <v>1020</v>
      </c>
      <c r="AI66" s="52">
        <f>SUM(B66:AH66)</f>
        <v>90288</v>
      </c>
      <c r="AJ66">
        <f>+AA66+R66+W66+AB66+AD66+T66+AG66</f>
        <v>58200</v>
      </c>
      <c r="AK66" s="20">
        <f>+C66+H66+N66+Q66+S66+Y66+D66+X66+AE66+E66</f>
        <v>20489</v>
      </c>
      <c r="AL66">
        <f>+B66+P66+AC66+AH66+AF66+K66+L66+V66+U66+Z66+M66+J66+G66+F66+I66+O66</f>
        <v>11599</v>
      </c>
      <c r="AM66">
        <f>+Q66+V66+Y66+AH66+N66+H66+E66</f>
        <v>13800</v>
      </c>
      <c r="AN66" s="20">
        <f>+B66+C66+J66+K66+L66+P66+R66+S66+W66+AA66+AB66+AC66+AD66+AF66+T66+D66+AG66+X66+M66+F66+AE66</f>
        <v>74268</v>
      </c>
      <c r="AO66" s="20">
        <f>+Z66+U66+G66+I66+O66</f>
        <v>2220</v>
      </c>
      <c r="AP66">
        <f>+AJ66+AK66+AL66</f>
        <v>90288</v>
      </c>
    </row>
    <row r="67" spans="1:42" x14ac:dyDescent="0.2">
      <c r="A67" t="s">
        <v>2</v>
      </c>
      <c r="B67" s="38">
        <v>265</v>
      </c>
      <c r="C67" s="45">
        <v>493</v>
      </c>
      <c r="D67" s="45"/>
      <c r="E67" s="45">
        <v>2224</v>
      </c>
      <c r="F67" s="45">
        <v>390</v>
      </c>
      <c r="G67" s="45">
        <v>81</v>
      </c>
      <c r="H67" s="45">
        <v>1656</v>
      </c>
      <c r="I67" s="45"/>
      <c r="J67" s="45">
        <v>1539</v>
      </c>
      <c r="K67" s="45">
        <v>978</v>
      </c>
      <c r="L67" s="45">
        <v>631</v>
      </c>
      <c r="M67" s="45">
        <f>+M66*0.1643</f>
        <v>69.006</v>
      </c>
      <c r="N67" s="45">
        <v>1436</v>
      </c>
      <c r="O67" s="45">
        <v>100</v>
      </c>
      <c r="P67" s="45">
        <v>162</v>
      </c>
      <c r="Q67" s="45">
        <v>2711</v>
      </c>
      <c r="R67" s="45">
        <v>583</v>
      </c>
      <c r="S67" s="45">
        <v>1345</v>
      </c>
      <c r="T67" s="45">
        <v>2236</v>
      </c>
      <c r="U67" s="45">
        <f>+U66*0.406</f>
        <v>560.28000000000009</v>
      </c>
      <c r="V67" s="45">
        <f>+V66*0.86</f>
        <v>645</v>
      </c>
      <c r="W67" s="45">
        <f>+W66*0.44</f>
        <v>6124.8</v>
      </c>
      <c r="X67" s="45">
        <v>922</v>
      </c>
      <c r="Y67" s="45">
        <f>+Y66*0.6</f>
        <v>720</v>
      </c>
      <c r="Z67" s="45"/>
      <c r="AA67" s="45">
        <v>4464</v>
      </c>
      <c r="AB67" s="45">
        <v>10293</v>
      </c>
      <c r="AC67" s="45">
        <v>303</v>
      </c>
      <c r="AD67" s="45">
        <v>6577</v>
      </c>
      <c r="AE67" s="45">
        <v>1164</v>
      </c>
      <c r="AF67" s="45">
        <v>772</v>
      </c>
      <c r="AG67" s="45">
        <v>4970</v>
      </c>
      <c r="AH67" s="45">
        <v>642</v>
      </c>
      <c r="AI67" s="52">
        <f>SUM(B67:AH67)</f>
        <v>55056.085999999996</v>
      </c>
      <c r="AJ67">
        <f>+AA67+R67+W67+AB67+AD67+T67+AG67</f>
        <v>35247.800000000003</v>
      </c>
      <c r="AK67" s="48">
        <f>+C67+H67+N67+Q67+S67+Y67+D67+X67+AE67+E67</f>
        <v>12671</v>
      </c>
      <c r="AL67">
        <f>+B67+P67+AC67+AH67+AF67+K67+L67+V67+U67+Z67+M67+J67+G67+F67+I67+O67</f>
        <v>7137.2860000000001</v>
      </c>
      <c r="AM67">
        <f>+Q67+V67+Y67+AH67+N67+H67+E67</f>
        <v>10034</v>
      </c>
      <c r="AN67" s="20">
        <f>+B67+C67+J67+K67+L67+P67+R67+S67+W67+AA67+AB67+AC67+AD67+AF67+T67+D67+AG67+X67+M67+F67+AE67</f>
        <v>44280.806000000004</v>
      </c>
      <c r="AO67" s="20">
        <f>+Z67+U67+G67+I67+O67</f>
        <v>741.28000000000009</v>
      </c>
      <c r="AP67">
        <f>+AJ67+AK67+AL67</f>
        <v>55056.086000000003</v>
      </c>
    </row>
    <row r="68" spans="1:42" x14ac:dyDescent="0.2">
      <c r="A68" t="s">
        <v>4</v>
      </c>
      <c r="B68" s="3">
        <f>+B67/B66</f>
        <v>0.49074074074074076</v>
      </c>
      <c r="C68" s="3">
        <f>+C67/C66</f>
        <v>0.31006289308176099</v>
      </c>
      <c r="D68" s="3"/>
      <c r="E68" s="3">
        <f t="shared" ref="E68:Y68" si="25">+E67/E66</f>
        <v>0.68012232415902141</v>
      </c>
      <c r="F68" s="3">
        <f t="shared" si="25"/>
        <v>0.76470588235294112</v>
      </c>
      <c r="G68" s="3">
        <f t="shared" si="25"/>
        <v>0.19285714285714287</v>
      </c>
      <c r="H68" s="3">
        <f t="shared" si="25"/>
        <v>0.67317073170731712</v>
      </c>
      <c r="I68" s="3"/>
      <c r="J68" s="3">
        <f t="shared" si="25"/>
        <v>0.89010989010989006</v>
      </c>
      <c r="K68" s="3">
        <f t="shared" si="25"/>
        <v>0.85789473684210527</v>
      </c>
      <c r="L68" s="3">
        <f t="shared" si="25"/>
        <v>0.84133333333333338</v>
      </c>
      <c r="M68" s="3">
        <f t="shared" si="25"/>
        <v>0.1643</v>
      </c>
      <c r="N68" s="3">
        <f t="shared" si="25"/>
        <v>0.66481481481481486</v>
      </c>
      <c r="O68" s="3">
        <f t="shared" si="25"/>
        <v>0.23809523809523808</v>
      </c>
      <c r="P68" s="3">
        <f t="shared" si="25"/>
        <v>0.24545454545454545</v>
      </c>
      <c r="Q68" s="3">
        <f t="shared" si="25"/>
        <v>0.92210884353741496</v>
      </c>
      <c r="R68" s="3">
        <f t="shared" si="25"/>
        <v>7.3057644110275682E-2</v>
      </c>
      <c r="S68" s="3">
        <f t="shared" si="25"/>
        <v>0.4039039039039039</v>
      </c>
      <c r="T68" s="3">
        <f t="shared" si="25"/>
        <v>0.35492063492063491</v>
      </c>
      <c r="U68" s="3">
        <f t="shared" si="25"/>
        <v>0.40600000000000008</v>
      </c>
      <c r="V68" s="3">
        <f t="shared" si="25"/>
        <v>0.86</v>
      </c>
      <c r="W68" s="3">
        <f t="shared" si="25"/>
        <v>0.44</v>
      </c>
      <c r="X68" s="3">
        <f t="shared" si="25"/>
        <v>0.52988505747126435</v>
      </c>
      <c r="Y68" s="3">
        <f t="shared" si="25"/>
        <v>0.6</v>
      </c>
      <c r="Z68" s="3">
        <v>0</v>
      </c>
      <c r="AA68" s="3">
        <f>+AA67/AA66</f>
        <v>0.82666666666666666</v>
      </c>
      <c r="AB68" s="3">
        <f>+AB67/AB66</f>
        <v>0.8730279898218829</v>
      </c>
      <c r="AC68" s="3">
        <f>+AC67/AC66</f>
        <v>0.77692307692307694</v>
      </c>
      <c r="AD68" s="3">
        <f>+AD67/AD66</f>
        <v>0.88758434547908227</v>
      </c>
      <c r="AE68" s="3">
        <f>+AE67/AE66</f>
        <v>0.64702612562534745</v>
      </c>
      <c r="AF68" s="3">
        <f t="shared" ref="AF68:AO68" si="26">+AF67/AF66</f>
        <v>0.52517006802721089</v>
      </c>
      <c r="AG68" s="3">
        <f t="shared" si="26"/>
        <v>0.92037037037037039</v>
      </c>
      <c r="AH68" s="3">
        <f t="shared" si="26"/>
        <v>0.62941176470588234</v>
      </c>
      <c r="AI68" s="6">
        <f t="shared" si="26"/>
        <v>0.60978298334219383</v>
      </c>
      <c r="AJ68" s="3">
        <f t="shared" si="26"/>
        <v>0.60563230240549837</v>
      </c>
      <c r="AK68" s="3">
        <f t="shared" si="26"/>
        <v>0.61842940114207623</v>
      </c>
      <c r="AL68" s="3">
        <f t="shared" si="26"/>
        <v>0.6153363220967325</v>
      </c>
      <c r="AM68" s="3">
        <f t="shared" si="26"/>
        <v>0.72710144927536235</v>
      </c>
      <c r="AN68" s="3">
        <f t="shared" si="26"/>
        <v>0.59622995098831266</v>
      </c>
      <c r="AO68" s="3">
        <f t="shared" si="26"/>
        <v>0.33390990990990993</v>
      </c>
    </row>
    <row r="69" spans="1:42" x14ac:dyDescent="0.2">
      <c r="A69" s="20"/>
      <c r="B69" s="39">
        <v>1</v>
      </c>
      <c r="C69" s="39">
        <v>1</v>
      </c>
      <c r="D69" s="39"/>
      <c r="E69" s="39">
        <v>1</v>
      </c>
      <c r="F69" s="39">
        <v>1</v>
      </c>
      <c r="G69" s="39">
        <v>1</v>
      </c>
      <c r="H69" s="39">
        <v>1</v>
      </c>
      <c r="I69" s="39"/>
      <c r="J69" s="39">
        <v>1</v>
      </c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/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>
        <v>1</v>
      </c>
      <c r="AH69" s="39">
        <v>1</v>
      </c>
      <c r="AI69" s="52">
        <f>SUM(B69:AH69)</f>
        <v>30</v>
      </c>
      <c r="AJ69" s="20">
        <f>+AA69+R69+W69+AB69+AD69+T69+AG69</f>
        <v>7</v>
      </c>
      <c r="AK69" s="20">
        <f>+C69+H69+N69+Q69+S69+Y69+D69+X69+AE69+E69</f>
        <v>9</v>
      </c>
      <c r="AL69" s="20">
        <f>+B69+P69+AC69+AH69+AF69+K69+L69+V69+U69+Z69+M69+J69+G69+F69+I69+O69</f>
        <v>14</v>
      </c>
      <c r="AM69" s="20">
        <f>+Q69+V69+Y69+AH69+N69+H69+E69</f>
        <v>7</v>
      </c>
      <c r="AN69" s="20">
        <f>+B69+C69+J69+K69+L69+P69+R69+S69+W69+AA69+AB69+AC69+AD69+AF69+T69+D69+AG69+X69+M69+F69+AE69</f>
        <v>20</v>
      </c>
      <c r="AO69" s="20">
        <f>+Z69+U69+G69+I69+O69</f>
        <v>3</v>
      </c>
    </row>
    <row r="70" spans="1:42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3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19"/>
      <c r="AJ70" s="20"/>
      <c r="AK70" s="20"/>
      <c r="AL70" s="20"/>
      <c r="AM70" s="20"/>
      <c r="AN70" s="20"/>
      <c r="AO70" s="20"/>
    </row>
    <row r="71" spans="1:42" x14ac:dyDescent="0.2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5"/>
    </row>
    <row r="72" spans="1:42" x14ac:dyDescent="0.2">
      <c r="A72" t="s">
        <v>1</v>
      </c>
      <c r="B72" s="38">
        <v>662</v>
      </c>
      <c r="C72" s="38">
        <v>1643</v>
      </c>
      <c r="D72" s="38"/>
      <c r="E72" s="38">
        <v>3379</v>
      </c>
      <c r="F72" s="38">
        <v>527</v>
      </c>
      <c r="G72" s="38">
        <v>434</v>
      </c>
      <c r="H72" s="38">
        <f>2460/30*31</f>
        <v>2542</v>
      </c>
      <c r="I72" s="38"/>
      <c r="J72" s="38">
        <v>1787</v>
      </c>
      <c r="K72" s="38">
        <v>1178</v>
      </c>
      <c r="L72" s="38">
        <v>775</v>
      </c>
      <c r="M72" s="38">
        <v>434</v>
      </c>
      <c r="N72" s="38">
        <f>2160/30*31</f>
        <v>2232</v>
      </c>
      <c r="O72" s="38">
        <v>434</v>
      </c>
      <c r="P72" s="38">
        <v>744</v>
      </c>
      <c r="Q72" s="38">
        <v>3038</v>
      </c>
      <c r="R72" s="38">
        <v>8246</v>
      </c>
      <c r="S72" s="38">
        <v>3441</v>
      </c>
      <c r="T72" s="38">
        <v>6510</v>
      </c>
      <c r="U72" s="38">
        <v>1426</v>
      </c>
      <c r="V72" s="38">
        <f>750/30*31</f>
        <v>775</v>
      </c>
      <c r="W72" s="38">
        <v>14384</v>
      </c>
      <c r="X72" s="38">
        <v>1102</v>
      </c>
      <c r="Y72" s="38">
        <f>1200/30*31</f>
        <v>1240</v>
      </c>
      <c r="Z72" s="38">
        <f>15*31</f>
        <v>465</v>
      </c>
      <c r="AA72" s="38">
        <v>5580</v>
      </c>
      <c r="AB72" s="38">
        <v>12183</v>
      </c>
      <c r="AC72" s="38">
        <v>403</v>
      </c>
      <c r="AD72" s="38">
        <v>7626</v>
      </c>
      <c r="AE72" s="38">
        <v>1859</v>
      </c>
      <c r="AF72" s="38">
        <v>1522</v>
      </c>
      <c r="AG72" s="38">
        <v>5580</v>
      </c>
      <c r="AH72" s="38">
        <f>1020/30*31</f>
        <v>1054</v>
      </c>
      <c r="AI72" s="53">
        <f>SUM(B72:AH72)</f>
        <v>93205</v>
      </c>
      <c r="AJ72">
        <f>+AA72+R72+W72+AB72+AD72+T72+AG72</f>
        <v>60109</v>
      </c>
      <c r="AK72" s="20">
        <f>+C72+H72+N72+Q72+S72+Y72+D72+X72+AE72+E72</f>
        <v>20476</v>
      </c>
      <c r="AL72">
        <f>+B72+P72+AC72+AH72+AF72+K72+L72+V72+U72+Z72+M72+J72+G72+F72+I72+O72</f>
        <v>12620</v>
      </c>
      <c r="AM72">
        <f>+Q72+V72+Y72+AH72+N72+H72+E72</f>
        <v>14260</v>
      </c>
      <c r="AN72" s="20">
        <f>+B72+C72+J72+K72+L72+P72+R72+S72+W72+AA72+AB72+AC72+AD72+AF72+T72+D72+AG72+X72+M72+F72+AE72</f>
        <v>76186</v>
      </c>
      <c r="AO72" s="20">
        <f>+Z72+U72+G72+I72+O72</f>
        <v>2759</v>
      </c>
      <c r="AP72">
        <f>+AJ72+AK72+AL72</f>
        <v>93205</v>
      </c>
    </row>
    <row r="73" spans="1:42" x14ac:dyDescent="0.2">
      <c r="A73" t="s">
        <v>2</v>
      </c>
      <c r="B73" s="38">
        <v>377</v>
      </c>
      <c r="C73" s="38">
        <v>657</v>
      </c>
      <c r="D73" s="38"/>
      <c r="E73" s="38">
        <f>+E72*0.67</f>
        <v>2263.9300000000003</v>
      </c>
      <c r="F73" s="38">
        <v>346</v>
      </c>
      <c r="G73" s="38">
        <v>181</v>
      </c>
      <c r="H73" s="38">
        <v>2151</v>
      </c>
      <c r="I73" s="38"/>
      <c r="J73" s="38">
        <v>1662</v>
      </c>
      <c r="K73" s="38">
        <v>1041</v>
      </c>
      <c r="L73" s="38">
        <v>605</v>
      </c>
      <c r="M73" s="38">
        <v>204</v>
      </c>
      <c r="N73" s="38">
        <v>1386</v>
      </c>
      <c r="O73" s="38">
        <v>297</v>
      </c>
      <c r="P73" s="38">
        <v>319</v>
      </c>
      <c r="Q73" s="38">
        <v>2918</v>
      </c>
      <c r="R73" s="38">
        <v>1222</v>
      </c>
      <c r="S73" s="38">
        <v>1549</v>
      </c>
      <c r="T73" s="38">
        <v>2200</v>
      </c>
      <c r="U73" s="38">
        <v>646</v>
      </c>
      <c r="V73" s="38">
        <v>698</v>
      </c>
      <c r="W73" s="38">
        <v>5754</v>
      </c>
      <c r="X73" s="38">
        <v>562</v>
      </c>
      <c r="Y73" s="38">
        <v>921</v>
      </c>
      <c r="Z73" s="38">
        <v>419</v>
      </c>
      <c r="AA73" s="38">
        <v>4351</v>
      </c>
      <c r="AB73" s="38">
        <v>9625</v>
      </c>
      <c r="AC73" s="38">
        <v>299</v>
      </c>
      <c r="AD73" s="38">
        <v>6905</v>
      </c>
      <c r="AE73" s="38">
        <v>985</v>
      </c>
      <c r="AF73" s="38">
        <v>870</v>
      </c>
      <c r="AG73" s="38">
        <v>5514</v>
      </c>
      <c r="AH73" s="38">
        <v>791</v>
      </c>
      <c r="AI73" s="53">
        <f>SUM(B73:AH73)</f>
        <v>57718.93</v>
      </c>
      <c r="AJ73">
        <f>+AA73+R73+W73+AB73+AD73+T73+AG73</f>
        <v>35571</v>
      </c>
      <c r="AK73" s="48">
        <f>+C73+H73+N73+Q73+S73+Y73+D73+X73+AE73+E73</f>
        <v>13392.93</v>
      </c>
      <c r="AL73">
        <f>+B73+P73+AC73+AH73+AF73+K73+L73+V73+U73+Z73+M73+J73+G73+F73+I73+O73</f>
        <v>8755</v>
      </c>
      <c r="AM73">
        <f>+Q73+V73+Y73+AH73+N73+H73+E73</f>
        <v>11128.93</v>
      </c>
      <c r="AN73" s="20">
        <f>+B73+C73+J73+K73+L73+P73+R73+S73+W73+AA73+AB73+AC73+AD73+AF73+T73+D73+AG73+X73+M73+F73+AE73</f>
        <v>45047</v>
      </c>
      <c r="AO73" s="20">
        <f>+Z73+U73+G73+I73+O73</f>
        <v>1543</v>
      </c>
      <c r="AP73">
        <f>+AJ73+AK73+AL73</f>
        <v>57718.93</v>
      </c>
    </row>
    <row r="74" spans="1:42" x14ac:dyDescent="0.2">
      <c r="A74" t="s">
        <v>4</v>
      </c>
      <c r="B74" s="3">
        <f>+B73/B72</f>
        <v>0.56948640483383683</v>
      </c>
      <c r="C74" s="3">
        <f>+C73/C72</f>
        <v>0.3998782714546561</v>
      </c>
      <c r="D74" s="3"/>
      <c r="E74" s="3">
        <f t="shared" ref="E74:Z74" si="27">+E73/E72</f>
        <v>0.67</v>
      </c>
      <c r="F74" s="3">
        <f t="shared" si="27"/>
        <v>0.65654648956356731</v>
      </c>
      <c r="G74" s="3">
        <f t="shared" si="27"/>
        <v>0.41705069124423966</v>
      </c>
      <c r="H74" s="3">
        <f t="shared" si="27"/>
        <v>0.84618410700236035</v>
      </c>
      <c r="I74" s="3"/>
      <c r="J74" s="3">
        <f t="shared" si="27"/>
        <v>0.93005036373810857</v>
      </c>
      <c r="K74" s="3">
        <f t="shared" si="27"/>
        <v>0.88370118845500845</v>
      </c>
      <c r="L74" s="3">
        <f t="shared" si="27"/>
        <v>0.78064516129032258</v>
      </c>
      <c r="M74" s="3">
        <f t="shared" si="27"/>
        <v>0.47004608294930877</v>
      </c>
      <c r="N74" s="3">
        <f t="shared" si="27"/>
        <v>0.62096774193548387</v>
      </c>
      <c r="O74" s="3">
        <f t="shared" si="27"/>
        <v>0.68433179723502302</v>
      </c>
      <c r="P74" s="3">
        <f t="shared" si="27"/>
        <v>0.42876344086021506</v>
      </c>
      <c r="Q74" s="3">
        <f t="shared" si="27"/>
        <v>0.96050032916392358</v>
      </c>
      <c r="R74" s="3">
        <f t="shared" si="27"/>
        <v>0.14819306330341983</v>
      </c>
      <c r="S74" s="3">
        <f t="shared" si="27"/>
        <v>0.45015983725661146</v>
      </c>
      <c r="T74" s="3">
        <f t="shared" si="27"/>
        <v>0.33794162826420893</v>
      </c>
      <c r="U74" s="3">
        <f t="shared" si="27"/>
        <v>0.45301542776998599</v>
      </c>
      <c r="V74" s="3">
        <f t="shared" si="27"/>
        <v>0.90064516129032257</v>
      </c>
      <c r="W74" s="3">
        <f t="shared" si="27"/>
        <v>0.400027808676307</v>
      </c>
      <c r="X74" s="3">
        <f t="shared" si="27"/>
        <v>0.50998185117967332</v>
      </c>
      <c r="Y74" s="3">
        <f t="shared" si="27"/>
        <v>0.74274193548387102</v>
      </c>
      <c r="Z74" s="3">
        <f t="shared" si="27"/>
        <v>0.90107526881720434</v>
      </c>
      <c r="AA74" s="3">
        <f t="shared" ref="AA74:AO74" si="28">+AA73/AA72</f>
        <v>0.77974910394265229</v>
      </c>
      <c r="AB74" s="3">
        <f t="shared" si="28"/>
        <v>0.79003529508331283</v>
      </c>
      <c r="AC74" s="3">
        <f t="shared" si="28"/>
        <v>0.74193548387096775</v>
      </c>
      <c r="AD74" s="3">
        <f t="shared" si="28"/>
        <v>0.90545502229215835</v>
      </c>
      <c r="AE74" s="3">
        <f t="shared" si="28"/>
        <v>0.52985476062399139</v>
      </c>
      <c r="AF74" s="3">
        <f t="shared" si="28"/>
        <v>0.57161629434954009</v>
      </c>
      <c r="AG74" s="3">
        <f t="shared" si="28"/>
        <v>0.98817204301075268</v>
      </c>
      <c r="AH74" s="3">
        <f t="shared" si="28"/>
        <v>0.75047438330170779</v>
      </c>
      <c r="AI74" s="6">
        <f t="shared" si="28"/>
        <v>0.61926860146987828</v>
      </c>
      <c r="AJ74" s="3">
        <f t="shared" si="28"/>
        <v>0.5917749421883578</v>
      </c>
      <c r="AK74" s="3">
        <f t="shared" si="28"/>
        <v>0.65407941004102366</v>
      </c>
      <c r="AL74" s="3">
        <f t="shared" si="28"/>
        <v>0.69374009508716328</v>
      </c>
      <c r="AM74" s="3">
        <f t="shared" si="28"/>
        <v>0.78042987377279105</v>
      </c>
      <c r="AN74" s="3">
        <f t="shared" si="28"/>
        <v>0.5912766125009844</v>
      </c>
      <c r="AO74" s="3">
        <f t="shared" si="28"/>
        <v>0.55926060166727076</v>
      </c>
    </row>
    <row r="75" spans="1:42" x14ac:dyDescent="0.2">
      <c r="A75" s="20"/>
      <c r="B75" s="20">
        <v>1</v>
      </c>
      <c r="C75" s="20">
        <v>1</v>
      </c>
      <c r="D75" s="20"/>
      <c r="E75" s="20">
        <v>1</v>
      </c>
      <c r="F75" s="20">
        <v>1</v>
      </c>
      <c r="G75" s="20">
        <v>1</v>
      </c>
      <c r="H75" s="20">
        <v>1</v>
      </c>
      <c r="I75" s="20"/>
      <c r="J75" s="20">
        <v>1</v>
      </c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44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>
        <v>1</v>
      </c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53">
        <f>SUM(B75:AH75)</f>
        <v>31</v>
      </c>
      <c r="AJ75" s="20">
        <f>+AA75+R75+W75+AB75+AD75+T75+AG75</f>
        <v>7</v>
      </c>
      <c r="AK75" s="20">
        <f>+C75+H75+N75+Q75+S75+Y75+D75+X75+AE75+E75</f>
        <v>9</v>
      </c>
      <c r="AL75" s="20">
        <f>+B75+P75+AC75+AH75+AF75+K75+L75+V75+U75+Z75+M75+J75+G75+F75+I75+O75</f>
        <v>15</v>
      </c>
      <c r="AM75" s="20">
        <f>+Q75+V75+Y75+AH75+N75+H75+E75</f>
        <v>7</v>
      </c>
      <c r="AN75" s="20">
        <f>+B75+C75+J75+K75+L75+P75+R75+S75+W75+AA75+AB75+AC75+AD75+AF75+T75+D75+AG75+X75+M75+F75+AE75</f>
        <v>20</v>
      </c>
      <c r="AO75" s="20">
        <f>+Z75+U75+G75+I75+O75</f>
        <v>4</v>
      </c>
    </row>
    <row r="76" spans="1:42" x14ac:dyDescent="0.2">
      <c r="A76" t="s">
        <v>61</v>
      </c>
      <c r="AI76">
        <f>+AI6+AI12+AI18+AI24+AI30+AI36+AI42+AI48+AI54+AI60+AI66+AI72</f>
        <v>1040773.995687868</v>
      </c>
      <c r="AJ76">
        <f>+AJ6+AJ12+AJ18+AJ24+AJ30+AJ36+AJ42+AJ48+AJ54+AJ60+AJ66+AJ72</f>
        <v>673965</v>
      </c>
      <c r="AK76">
        <f>+AK6+AK12+AK18+AK24+AK30+AK36+AK42+AK48+AK54+AK60+AK66+AK72</f>
        <v>233357.12903225806</v>
      </c>
      <c r="AL76">
        <f>+AL6+AL12+AL18+AL24+AL30+AL36+AL42+AL48+AL54+AL60+AL66+AL72</f>
        <v>133451.86665560992</v>
      </c>
      <c r="AM76">
        <f t="shared" ref="AI76:AO77" si="29">+AM6+AM12+AM18+AM24+AM30+AM36+AM42+AM48+AM54+AM60+AM66+AM72</f>
        <v>152057</v>
      </c>
      <c r="AN76">
        <f t="shared" si="29"/>
        <v>861241.54838709673</v>
      </c>
      <c r="AO76">
        <f t="shared" si="29"/>
        <v>27475.447300771208</v>
      </c>
    </row>
    <row r="77" spans="1:42" x14ac:dyDescent="0.2">
      <c r="E77">
        <f>+E66+E60+E54+E6+E12+E18+E24+E30+E36+E42+E48+E71</f>
        <v>36406</v>
      </c>
      <c r="G77">
        <f>+G66+G60+G54+G6+G12+G18+G24+G30+G36+G42+G48+G71</f>
        <v>4676</v>
      </c>
      <c r="H77">
        <f>+H66+H60+H54+H6+H12+H18+H24+H30+H36+H42+H48+H71</f>
        <v>24026</v>
      </c>
      <c r="N77">
        <f>+N66+N60+N54+N6+N12+N18+N24+N30+N36+N42+N48+N71</f>
        <v>17424</v>
      </c>
      <c r="Q77">
        <f>+Q66+Q60+Q54+Q6+Q12+Q18+Q24+Q30+Q36+Q42+Q48+Q71</f>
        <v>32724</v>
      </c>
      <c r="R77">
        <f t="shared" ref="R77:T78" si="30">+R66+R60+R54+R6+R12+R18+R24+R30+R36+R42+R48+R71+R72</f>
        <v>80864</v>
      </c>
      <c r="S77">
        <f t="shared" si="30"/>
        <v>40515</v>
      </c>
      <c r="T77">
        <f>+T66+T60+T54+T6+T12+T18+T24+T30+T36+T42+T48+T72</f>
        <v>59640</v>
      </c>
      <c r="W77">
        <f>+W66+W60+W54+W6+W12+W18+W24+W30+W36+W42+W48+W71+W72</f>
        <v>169360</v>
      </c>
      <c r="Y77">
        <f>+Y66+Y60+Y54+Y6+Y12+Y18+Y24+Y30+Y36+Y42+Y48+Y71</f>
        <v>10560</v>
      </c>
      <c r="AA77">
        <f t="shared" ref="AA77:AD78" si="31">+AA66+AA60+AA54+AA6+AA12+AA18+AA24+AA30+AA36+AA42+AA48+AA71</f>
        <v>60120</v>
      </c>
      <c r="AB77">
        <f t="shared" si="31"/>
        <v>131262</v>
      </c>
      <c r="AC77">
        <f t="shared" si="31"/>
        <v>4342</v>
      </c>
      <c r="AD77">
        <f t="shared" si="31"/>
        <v>81873</v>
      </c>
      <c r="AG77">
        <f>+AG66+AG60+AG54+AG6+AG12+AG18+AG24+AG30+AG36+AG42+AG48+AG71</f>
        <v>59877</v>
      </c>
      <c r="AH77">
        <f>+AH66+AH60+AH54+AH6+AH12+AH18+AH24+AH30+AH36+AH42+AH48+AH71</f>
        <v>9282</v>
      </c>
      <c r="AI77">
        <f t="shared" si="29"/>
        <v>604377.98071612907</v>
      </c>
      <c r="AJ77">
        <f t="shared" si="29"/>
        <v>399007.83</v>
      </c>
      <c r="AK77">
        <f t="shared" si="29"/>
        <v>124093.99599999998</v>
      </c>
      <c r="AL77">
        <f t="shared" si="29"/>
        <v>81276.154716129036</v>
      </c>
      <c r="AM77">
        <f t="shared" si="29"/>
        <v>99404.03</v>
      </c>
      <c r="AN77">
        <f t="shared" si="29"/>
        <v>495056.13071612903</v>
      </c>
      <c r="AO77">
        <f t="shared" si="29"/>
        <v>9917.82</v>
      </c>
    </row>
    <row r="78" spans="1:42" x14ac:dyDescent="0.2">
      <c r="E78">
        <f>+E67+E61+E55+E7+E13+E19+E25+E31+E37+E43+E49+E72</f>
        <v>24096.870000000003</v>
      </c>
      <c r="G78">
        <f>+G67+G61+G55+G7+G13+G19+G25+G31+G37+G43+G49+G72</f>
        <v>1545</v>
      </c>
      <c r="H78">
        <f>+H67+H61+H55+H7+H13+H19+H25+H31+H37+H43+H49+H72</f>
        <v>16556</v>
      </c>
      <c r="N78">
        <f>+N67+N61+N55+N7+N13+N19+N25+N31+N37+N43+N49+N72</f>
        <v>11202.32</v>
      </c>
      <c r="Q78">
        <f>+Q67+Q61+Q55+Q7+Q13+Q19+Q25+Q31+Q37+Q43+Q49+Q72</f>
        <v>28740</v>
      </c>
      <c r="R78">
        <f t="shared" si="30"/>
        <v>17313</v>
      </c>
      <c r="S78">
        <f t="shared" si="30"/>
        <v>15060.223</v>
      </c>
      <c r="T78">
        <f t="shared" si="30"/>
        <v>30617.149999999998</v>
      </c>
      <c r="W78">
        <f>+W67+W61+W55+W7+W13+W19+W25+W31+W37+W43+W49+W72+W73</f>
        <v>82562.64</v>
      </c>
      <c r="Y78">
        <f>+Y67+Y61+Y55+Y7+Y13+Y19+Y25+Y31+Y37+Y43+Y49+Y72</f>
        <v>8622.16</v>
      </c>
      <c r="AA78">
        <f t="shared" si="31"/>
        <v>48638.04</v>
      </c>
      <c r="AB78">
        <f t="shared" si="31"/>
        <v>118586</v>
      </c>
      <c r="AC78">
        <f t="shared" si="31"/>
        <v>2988</v>
      </c>
      <c r="AD78">
        <f t="shared" si="31"/>
        <v>77578</v>
      </c>
      <c r="AG78">
        <f>+AG67+AG61+AG55+AG7+AG13+AG19+AG25+AG31+AG37+AG43+AG49+AG72</f>
        <v>57427</v>
      </c>
      <c r="AH78">
        <f>+AH67+AH61+AH55+AH7+AH13+AH19+AH25+AH31+AH37+AH43+AH49+AH72</f>
        <v>6627</v>
      </c>
      <c r="AI78" s="6">
        <f t="shared" ref="AI78:AO78" si="32">+AI77/AI76</f>
        <v>0.58070050099270953</v>
      </c>
      <c r="AJ78" s="6">
        <f t="shared" si="32"/>
        <v>0.59203049119761419</v>
      </c>
      <c r="AK78" s="6">
        <f t="shared" si="32"/>
        <v>0.53177717995855989</v>
      </c>
      <c r="AL78" s="6">
        <f t="shared" si="32"/>
        <v>0.60902973298884489</v>
      </c>
      <c r="AM78" s="6">
        <f t="shared" si="32"/>
        <v>0.65372873330395842</v>
      </c>
      <c r="AN78" s="6">
        <f t="shared" si="32"/>
        <v>0.57481682304256332</v>
      </c>
      <c r="AO78" s="6">
        <f t="shared" si="32"/>
        <v>0.36097028344727317</v>
      </c>
    </row>
    <row r="79" spans="1:42" x14ac:dyDescent="0.2">
      <c r="E79">
        <f>+E78/E77</f>
        <v>0.66189281986485748</v>
      </c>
      <c r="G79">
        <f>+G78/G77</f>
        <v>0.33041060735671512</v>
      </c>
      <c r="H79">
        <f>+H78/H77</f>
        <v>0.68908682260884047</v>
      </c>
      <c r="N79">
        <f>+N78/N77</f>
        <v>0.64292470156106518</v>
      </c>
      <c r="Q79">
        <f>+Q78/Q77</f>
        <v>0.87825449211587825</v>
      </c>
      <c r="R79">
        <f>+R78/R77</f>
        <v>0.21410021764938664</v>
      </c>
      <c r="S79">
        <f>+S78/S77</f>
        <v>0.37171968406762929</v>
      </c>
      <c r="T79">
        <f>+T78/T77</f>
        <v>0.51336602951039567</v>
      </c>
      <c r="W79">
        <f>+W78/W77</f>
        <v>0.48749787435049596</v>
      </c>
      <c r="Y79">
        <f>+Y78/Y77</f>
        <v>0.81649242424242419</v>
      </c>
      <c r="AA79">
        <f>+AA78/AA77</f>
        <v>0.80901596806387222</v>
      </c>
      <c r="AB79">
        <f>+AB78/AB77</f>
        <v>0.90342978165805798</v>
      </c>
      <c r="AC79">
        <f>+AC78/AC77</f>
        <v>0.68816213726393372</v>
      </c>
      <c r="AD79">
        <f>+AD78/AD77</f>
        <v>0.94754070328435502</v>
      </c>
      <c r="AG79">
        <f>+AG78/AG77</f>
        <v>0.95908278637874311</v>
      </c>
      <c r="AH79">
        <f>+AH78/AH77</f>
        <v>0.71396250808015516</v>
      </c>
    </row>
    <row r="80" spans="1:42" x14ac:dyDescent="0.2">
      <c r="AI80">
        <f>+AI6+AI12+AI18+AI24+AI30+AI36+AI42+AI48</f>
        <v>706708.99568786798</v>
      </c>
    </row>
    <row r="81" spans="35:35" x14ac:dyDescent="0.2">
      <c r="AI81">
        <f>+AI7+AI13+AI19+AI25+AI31+AI37+AI43+AI49</f>
        <v>418819.964716129</v>
      </c>
    </row>
    <row r="82" spans="35:35" x14ac:dyDescent="0.2">
      <c r="AI82">
        <f>+AI81/AI80</f>
        <v>0.59263426286016763</v>
      </c>
    </row>
    <row r="83" spans="35:35" x14ac:dyDescent="0.2">
      <c r="AI83">
        <f>+Q77+AA77+AB77+AD77+AG77</f>
        <v>365856</v>
      </c>
    </row>
    <row r="84" spans="35:35" x14ac:dyDescent="0.2">
      <c r="AI84">
        <f>+AI83/AI76</f>
        <v>0.35152300260749558</v>
      </c>
    </row>
  </sheetData>
  <pageMargins left="0.74803149606299213" right="0.4" top="0.53" bottom="0.47" header="0.51181102362204722" footer="0.51181102362204722"/>
  <pageSetup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4"/>
  <sheetViews>
    <sheetView topLeftCell="A2" zoomScale="105" zoomScaleNormal="105" workbookViewId="0">
      <pane xSplit="1" ySplit="3" topLeftCell="Q50" activePane="bottomRight" state="frozen"/>
      <selection activeCell="A2" sqref="A2"/>
      <selection pane="topRight" activeCell="B2" sqref="B2"/>
      <selection pane="bottomLeft" activeCell="A5" sqref="A5"/>
      <selection pane="bottomRight" activeCell="AD80" sqref="AD80"/>
    </sheetView>
  </sheetViews>
  <sheetFormatPr defaultRowHeight="12.75" x14ac:dyDescent="0.2"/>
  <cols>
    <col min="1" max="1" width="16" customWidth="1"/>
    <col min="2" max="36" width="9" customWidth="1"/>
    <col min="37" max="37" width="9.85546875" customWidth="1"/>
    <col min="38" max="38" width="8.7109375" customWidth="1"/>
    <col min="39" max="39" width="8.42578125" customWidth="1"/>
    <col min="40" max="40" width="8.28515625" customWidth="1"/>
    <col min="41" max="41" width="8" customWidth="1"/>
    <col min="42" max="42" width="9.28515625" customWidth="1"/>
    <col min="43" max="43" width="7.85546875" customWidth="1"/>
  </cols>
  <sheetData>
    <row r="1" spans="1:46" x14ac:dyDescent="0.2">
      <c r="N1" t="s">
        <v>15</v>
      </c>
      <c r="V1" t="s">
        <v>15</v>
      </c>
      <c r="X1" t="s">
        <v>15</v>
      </c>
      <c r="Z1" t="s">
        <v>15</v>
      </c>
    </row>
    <row r="2" spans="1:46" x14ac:dyDescent="0.2">
      <c r="A2" t="s">
        <v>36</v>
      </c>
      <c r="B2" s="10"/>
      <c r="C2" s="10"/>
      <c r="D2" s="10"/>
      <c r="E2" s="11"/>
      <c r="F2" s="10"/>
      <c r="G2" s="11"/>
      <c r="H2" s="10"/>
      <c r="I2" s="11"/>
      <c r="J2" s="11"/>
      <c r="K2" s="11"/>
      <c r="L2" s="11"/>
      <c r="M2" s="10"/>
      <c r="N2" s="10"/>
      <c r="O2" s="11"/>
      <c r="P2" s="11"/>
      <c r="Q2" s="10"/>
      <c r="R2" s="11"/>
      <c r="S2" s="12"/>
      <c r="T2" s="11"/>
      <c r="U2" s="12"/>
      <c r="V2" s="10"/>
      <c r="W2" s="10"/>
      <c r="X2" s="12"/>
      <c r="Y2" s="12"/>
      <c r="Z2" s="11"/>
      <c r="AA2" s="11"/>
      <c r="AB2" s="10"/>
      <c r="AC2" s="12"/>
      <c r="AD2" s="12"/>
      <c r="AE2" s="10"/>
      <c r="AF2" s="12"/>
      <c r="AG2" s="12"/>
      <c r="AH2" s="10"/>
      <c r="AI2" s="10"/>
      <c r="AJ2" s="10"/>
    </row>
    <row r="3" spans="1:46" x14ac:dyDescent="0.2">
      <c r="A3" t="s">
        <v>37</v>
      </c>
      <c r="B3" s="14"/>
      <c r="C3" s="14"/>
      <c r="D3" s="14"/>
      <c r="E3" s="14"/>
      <c r="F3" s="13"/>
      <c r="G3" s="14"/>
      <c r="H3" s="15"/>
      <c r="I3" s="13"/>
      <c r="J3" s="13"/>
      <c r="K3" s="14"/>
      <c r="L3" s="14"/>
      <c r="M3" s="14"/>
      <c r="N3" s="14"/>
      <c r="O3" s="13"/>
      <c r="P3" s="13"/>
      <c r="Q3" s="14"/>
      <c r="R3" s="13"/>
      <c r="S3" s="14"/>
      <c r="T3" s="14"/>
      <c r="U3" s="14"/>
      <c r="V3" s="15"/>
      <c r="W3" s="13"/>
      <c r="X3" s="14"/>
      <c r="Y3" s="14"/>
      <c r="Z3" s="13"/>
      <c r="AA3" s="13"/>
      <c r="AB3" s="15"/>
      <c r="AC3" s="14"/>
      <c r="AD3" s="14"/>
      <c r="AE3" s="14"/>
      <c r="AF3" s="14"/>
      <c r="AG3" s="14"/>
      <c r="AH3" s="14"/>
      <c r="AI3" s="14"/>
      <c r="AJ3" s="13"/>
    </row>
    <row r="4" spans="1:46" ht="123" x14ac:dyDescent="0.2">
      <c r="B4" s="7" t="s">
        <v>24</v>
      </c>
      <c r="C4" s="7" t="s">
        <v>179</v>
      </c>
      <c r="D4" s="7" t="s">
        <v>7</v>
      </c>
      <c r="E4" s="8" t="s">
        <v>39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157</v>
      </c>
      <c r="K4" s="8" t="s">
        <v>17</v>
      </c>
      <c r="L4" s="8" t="s">
        <v>18</v>
      </c>
      <c r="M4" s="7" t="s">
        <v>40</v>
      </c>
      <c r="N4" s="7" t="s">
        <v>26</v>
      </c>
      <c r="O4" s="8" t="s">
        <v>35</v>
      </c>
      <c r="P4" s="8" t="s">
        <v>159</v>
      </c>
      <c r="Q4" s="7" t="s">
        <v>8</v>
      </c>
      <c r="R4" s="8" t="s">
        <v>6</v>
      </c>
      <c r="S4" s="9" t="s">
        <v>16</v>
      </c>
      <c r="T4" s="8" t="s">
        <v>34</v>
      </c>
      <c r="U4" s="9" t="s">
        <v>55</v>
      </c>
      <c r="V4" s="7" t="s">
        <v>27</v>
      </c>
      <c r="W4" s="7" t="s">
        <v>38</v>
      </c>
      <c r="X4" s="9" t="s">
        <v>14</v>
      </c>
      <c r="Y4" s="9" t="s">
        <v>126</v>
      </c>
      <c r="Z4" s="8" t="s">
        <v>28</v>
      </c>
      <c r="AA4" s="8" t="s">
        <v>183</v>
      </c>
      <c r="AB4" s="7" t="s">
        <v>176</v>
      </c>
      <c r="AC4" s="9" t="s">
        <v>33</v>
      </c>
      <c r="AD4" s="9" t="s">
        <v>9</v>
      </c>
      <c r="AE4" s="7" t="s">
        <v>20</v>
      </c>
      <c r="AF4" s="9" t="s">
        <v>32</v>
      </c>
      <c r="AG4" s="9" t="s">
        <v>120</v>
      </c>
      <c r="AH4" s="7" t="s">
        <v>5</v>
      </c>
      <c r="AI4" s="7" t="s">
        <v>68</v>
      </c>
      <c r="AJ4" s="7" t="s">
        <v>11</v>
      </c>
      <c r="AK4" s="4" t="s">
        <v>13</v>
      </c>
      <c r="AL4" s="1" t="s">
        <v>21</v>
      </c>
      <c r="AM4" s="1" t="s">
        <v>22</v>
      </c>
      <c r="AN4" s="1" t="s">
        <v>23</v>
      </c>
      <c r="AO4" s="1" t="s">
        <v>43</v>
      </c>
      <c r="AP4" s="1" t="s">
        <v>44</v>
      </c>
      <c r="AQ4" s="1" t="s">
        <v>45</v>
      </c>
    </row>
    <row r="5" spans="1:46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K5" s="5"/>
    </row>
    <row r="6" spans="1:46" x14ac:dyDescent="0.2">
      <c r="A6" t="s">
        <v>1</v>
      </c>
      <c r="B6" s="38">
        <v>558</v>
      </c>
      <c r="C6" s="38"/>
      <c r="D6" s="38">
        <v>1643</v>
      </c>
      <c r="E6" s="38"/>
      <c r="F6" s="38">
        <v>3379</v>
      </c>
      <c r="G6" s="38">
        <v>527</v>
      </c>
      <c r="H6" s="38">
        <v>434</v>
      </c>
      <c r="I6" s="38">
        <v>2542</v>
      </c>
      <c r="J6" s="38"/>
      <c r="K6" s="38">
        <v>1787</v>
      </c>
      <c r="L6" s="38">
        <v>1178</v>
      </c>
      <c r="M6" s="38">
        <v>775</v>
      </c>
      <c r="N6" s="38">
        <v>434</v>
      </c>
      <c r="O6" s="38">
        <v>2232</v>
      </c>
      <c r="P6" s="38">
        <v>434</v>
      </c>
      <c r="Q6" s="38">
        <v>744</v>
      </c>
      <c r="R6" s="38">
        <v>3038</v>
      </c>
      <c r="S6" s="38">
        <v>8246</v>
      </c>
      <c r="T6" s="38">
        <v>3441</v>
      </c>
      <c r="U6" s="38">
        <v>6510</v>
      </c>
      <c r="V6" s="38">
        <v>1426</v>
      </c>
      <c r="W6" s="38">
        <v>775</v>
      </c>
      <c r="X6" s="38">
        <v>14384</v>
      </c>
      <c r="Y6" s="38">
        <v>1798</v>
      </c>
      <c r="Z6" s="38">
        <v>1240</v>
      </c>
      <c r="AA6" s="38"/>
      <c r="AB6" s="38">
        <f>15*31</f>
        <v>465</v>
      </c>
      <c r="AC6" s="38">
        <v>5580</v>
      </c>
      <c r="AD6" s="38">
        <v>12183</v>
      </c>
      <c r="AE6" s="38">
        <v>403</v>
      </c>
      <c r="AF6" s="38">
        <v>7626</v>
      </c>
      <c r="AG6" s="38">
        <v>1859</v>
      </c>
      <c r="AH6" s="38">
        <v>1550</v>
      </c>
      <c r="AI6" s="38">
        <v>5580</v>
      </c>
      <c r="AJ6" s="38">
        <v>1054</v>
      </c>
      <c r="AK6" s="55">
        <f>SUM(B6:AJ6)</f>
        <v>93825</v>
      </c>
      <c r="AL6">
        <f>+AC6+S6+X6+AD6+AF6+U6+AI6</f>
        <v>60109</v>
      </c>
      <c r="AM6" s="20">
        <f>+D6+I6+O6+R6+T6+Z6+E6+Y6+AG6+F6</f>
        <v>21172</v>
      </c>
      <c r="AN6">
        <f>+B6+Q6+AE6+AJ6+AH6+L6+M6+W6+V6+AB6+N6+K6+H6+G6+J6+P6</f>
        <v>12544</v>
      </c>
      <c r="AO6">
        <f>+R6+W6+Z6+AJ6+O6+I6+F6</f>
        <v>14260</v>
      </c>
      <c r="AP6" s="20">
        <f>+B6+D6+K6+L6+M6+Q6+S6+T6+X6+AC6+AD6+AE6+AF6+AH6+U6+E6+AI6+Y6+N6+G6+AG6</f>
        <v>76806</v>
      </c>
      <c r="AQ6" s="20">
        <f>+AB6+V6+H6+J6+P6</f>
        <v>2759</v>
      </c>
      <c r="AR6">
        <f>+AL6+AM6+AN6</f>
        <v>93825</v>
      </c>
      <c r="AS6">
        <f>+AL6+AM6+AN6</f>
        <v>93825</v>
      </c>
      <c r="AT6">
        <f>+AQ6+AP6+AO6</f>
        <v>93825</v>
      </c>
    </row>
    <row r="7" spans="1:46" x14ac:dyDescent="0.2">
      <c r="A7" t="s">
        <v>2</v>
      </c>
      <c r="B7" s="38">
        <v>454</v>
      </c>
      <c r="C7" s="38"/>
      <c r="D7" s="38">
        <v>937</v>
      </c>
      <c r="E7" s="38"/>
      <c r="F7" s="38">
        <v>2500</v>
      </c>
      <c r="G7" s="38">
        <v>457</v>
      </c>
      <c r="H7" s="38">
        <v>211</v>
      </c>
      <c r="I7" s="38">
        <v>1548</v>
      </c>
      <c r="J7" s="38"/>
      <c r="K7" s="38">
        <v>1680</v>
      </c>
      <c r="L7" s="38">
        <v>1021</v>
      </c>
      <c r="M7" s="38">
        <v>721</v>
      </c>
      <c r="N7" s="38">
        <v>221</v>
      </c>
      <c r="O7" s="38">
        <f>+O6*0.625</f>
        <v>1395</v>
      </c>
      <c r="P7" s="38">
        <v>261</v>
      </c>
      <c r="Q7" s="38">
        <v>355</v>
      </c>
      <c r="R7" s="38">
        <v>2862</v>
      </c>
      <c r="S7" s="38">
        <f>+S6*0.107</f>
        <v>882.322</v>
      </c>
      <c r="T7" s="38">
        <v>2109</v>
      </c>
      <c r="U7" s="38">
        <v>4401</v>
      </c>
      <c r="V7" s="38">
        <f>+V6*0.5</f>
        <v>713</v>
      </c>
      <c r="W7" s="38">
        <v>736</v>
      </c>
      <c r="X7" s="38">
        <v>9637</v>
      </c>
      <c r="Y7" s="38">
        <v>1169</v>
      </c>
      <c r="Z7" s="38">
        <v>1004</v>
      </c>
      <c r="AA7" s="38"/>
      <c r="AB7" s="38">
        <v>349</v>
      </c>
      <c r="AC7" s="38">
        <v>4587</v>
      </c>
      <c r="AD7" s="38">
        <v>11710</v>
      </c>
      <c r="AE7" s="38">
        <v>286</v>
      </c>
      <c r="AF7" s="38">
        <v>7245</v>
      </c>
      <c r="AG7" s="38">
        <v>1404</v>
      </c>
      <c r="AH7" s="38">
        <v>1137</v>
      </c>
      <c r="AI7" s="38">
        <v>5332</v>
      </c>
      <c r="AJ7" s="38">
        <v>975</v>
      </c>
      <c r="AK7" s="55">
        <f>SUM(B7:AJ7)</f>
        <v>68299.322</v>
      </c>
      <c r="AL7">
        <f>+AC7+S7+X7+AD7+AF7+U7+AI7</f>
        <v>43794.322</v>
      </c>
      <c r="AM7" s="48">
        <f>+D7+I7+O7+R7+T7+Z7+E7+Y7+AG7+F7</f>
        <v>14928</v>
      </c>
      <c r="AN7">
        <f>+B7+Q7+AE7+AJ7+AH7+L7+M7+W7+V7+AB7+N7+K7+H7+G7+J7+P7</f>
        <v>9577</v>
      </c>
      <c r="AO7">
        <f>+R7+W7+Z7+AJ7+O7+I7+F7</f>
        <v>11020</v>
      </c>
      <c r="AP7" s="20">
        <f>+B7+D7+K7+L7+M7+Q7+S7+T7+X7+AC7+AD7+AE7+AF7+AH7+U7+E7+AI7+Y7+N7+G7+AG7</f>
        <v>55745.322</v>
      </c>
      <c r="AQ7" s="20">
        <f>+AB7+V7+H7+J7+P7</f>
        <v>1534</v>
      </c>
      <c r="AR7">
        <f>+AL7+AM7+AN7</f>
        <v>68299.322</v>
      </c>
      <c r="AS7">
        <f>+AL7+AM7+AN7</f>
        <v>68299.322</v>
      </c>
      <c r="AT7">
        <f>+AQ7+AP7+AO7</f>
        <v>68299.322</v>
      </c>
    </row>
    <row r="8" spans="1:46" x14ac:dyDescent="0.2">
      <c r="A8" t="s">
        <v>4</v>
      </c>
      <c r="B8" s="3">
        <f>+B7/B6</f>
        <v>0.81362007168458783</v>
      </c>
      <c r="C8" s="3"/>
      <c r="D8" s="3">
        <f>+D7/D6</f>
        <v>0.57029823493609255</v>
      </c>
      <c r="E8" s="3"/>
      <c r="F8" s="3">
        <f>+F7/F6</f>
        <v>0.73986386504883106</v>
      </c>
      <c r="G8" s="3">
        <f>+G7/G6</f>
        <v>0.86717267552182165</v>
      </c>
      <c r="H8" s="3">
        <f t="shared" ref="H8:AB8" si="0">+H7/H6</f>
        <v>0.48617511520737328</v>
      </c>
      <c r="I8" s="3">
        <f t="shared" si="0"/>
        <v>0.60896931549960664</v>
      </c>
      <c r="J8" s="3"/>
      <c r="K8" s="3">
        <f t="shared" si="0"/>
        <v>0.94012311135982096</v>
      </c>
      <c r="L8" s="3">
        <f t="shared" si="0"/>
        <v>0.86672325976230902</v>
      </c>
      <c r="M8" s="3">
        <f t="shared" si="0"/>
        <v>0.93032258064516127</v>
      </c>
      <c r="N8" s="3">
        <f t="shared" si="0"/>
        <v>0.50921658986175111</v>
      </c>
      <c r="O8" s="3">
        <f t="shared" si="0"/>
        <v>0.625</v>
      </c>
      <c r="P8" s="3">
        <f t="shared" si="0"/>
        <v>0.60138248847926268</v>
      </c>
      <c r="Q8" s="3">
        <f>+Q7/Q6</f>
        <v>0.47715053763440862</v>
      </c>
      <c r="R8" s="3">
        <f t="shared" si="0"/>
        <v>0.94206714944042136</v>
      </c>
      <c r="S8" s="3">
        <f>+S7/S6</f>
        <v>0.107</v>
      </c>
      <c r="T8" s="3">
        <f t="shared" si="0"/>
        <v>0.61290322580645162</v>
      </c>
      <c r="U8" s="3">
        <f t="shared" si="0"/>
        <v>0.67603686635944704</v>
      </c>
      <c r="V8" s="3">
        <f t="shared" si="0"/>
        <v>0.5</v>
      </c>
      <c r="W8" s="3">
        <f t="shared" si="0"/>
        <v>0.94967741935483874</v>
      </c>
      <c r="X8" s="3">
        <f t="shared" si="0"/>
        <v>0.66998053392658508</v>
      </c>
      <c r="Y8" s="3">
        <f t="shared" si="0"/>
        <v>0.65016685205784208</v>
      </c>
      <c r="Z8" s="3">
        <f t="shared" si="0"/>
        <v>0.80967741935483872</v>
      </c>
      <c r="AA8" s="3"/>
      <c r="AB8" s="3">
        <f t="shared" si="0"/>
        <v>0.75053763440860211</v>
      </c>
      <c r="AC8" s="3">
        <f t="shared" ref="AC8:AQ8" si="1">+AC7/AC6</f>
        <v>0.82204301075268815</v>
      </c>
      <c r="AD8" s="3">
        <f t="shared" si="1"/>
        <v>0.96117540835590576</v>
      </c>
      <c r="AE8" s="3">
        <f t="shared" si="1"/>
        <v>0.70967741935483875</v>
      </c>
      <c r="AF8" s="3">
        <f t="shared" si="1"/>
        <v>0.95003933910306848</v>
      </c>
      <c r="AG8" s="3">
        <f t="shared" si="1"/>
        <v>0.75524475524475521</v>
      </c>
      <c r="AH8" s="3">
        <f t="shared" si="1"/>
        <v>0.73354838709677417</v>
      </c>
      <c r="AI8" s="3">
        <f t="shared" si="1"/>
        <v>0.9555555555555556</v>
      </c>
      <c r="AJ8" s="3">
        <f t="shared" si="1"/>
        <v>0.92504743833017078</v>
      </c>
      <c r="AK8" s="6">
        <f t="shared" si="1"/>
        <v>0.72794374633626435</v>
      </c>
      <c r="AL8" s="3">
        <f t="shared" si="1"/>
        <v>0.72858177643946831</v>
      </c>
      <c r="AM8" s="3">
        <f t="shared" si="1"/>
        <v>0.7050821840166257</v>
      </c>
      <c r="AN8" s="3">
        <f t="shared" si="1"/>
        <v>0.76347257653061229</v>
      </c>
      <c r="AO8" s="3">
        <f t="shared" si="1"/>
        <v>0.7727910238429172</v>
      </c>
      <c r="AP8" s="3">
        <f t="shared" si="1"/>
        <v>0.72579384423091942</v>
      </c>
      <c r="AQ8" s="3">
        <f t="shared" si="1"/>
        <v>0.55599855019934763</v>
      </c>
    </row>
    <row r="9" spans="1:46" x14ac:dyDescent="0.2">
      <c r="A9" s="20"/>
      <c r="B9" s="20">
        <v>1</v>
      </c>
      <c r="C9" s="20"/>
      <c r="D9" s="20">
        <v>1</v>
      </c>
      <c r="E9" s="20"/>
      <c r="F9" s="20">
        <v>1</v>
      </c>
      <c r="G9" s="20">
        <v>1</v>
      </c>
      <c r="H9" s="20">
        <v>1</v>
      </c>
      <c r="I9" s="20">
        <v>1</v>
      </c>
      <c r="J9" s="20"/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>
        <v>1</v>
      </c>
      <c r="AA9" s="20"/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20">
        <v>1</v>
      </c>
      <c r="AJ9" s="20">
        <v>1</v>
      </c>
      <c r="AK9" s="55">
        <f>SUM(B9:AJ9)</f>
        <v>31</v>
      </c>
      <c r="AL9" s="20">
        <f>+AC9+S9+X9+AD9+AF9+U9+AI9</f>
        <v>7</v>
      </c>
      <c r="AM9" s="20">
        <f>+D9+I9+O9+R9+T9+Z9+E9+Y9+AG9+F9</f>
        <v>9</v>
      </c>
      <c r="AN9" s="20">
        <f>+B9+Q9+AE9+AJ9+AH9+L9+M9+W9+V9+AB9+N9+K9+H9+G9+J9+P9</f>
        <v>15</v>
      </c>
      <c r="AO9" s="20">
        <f>+R9+W9+Z9+AJ9+O9+I9+F9</f>
        <v>7</v>
      </c>
      <c r="AP9" s="20">
        <f>+B9+D9+K9+L9+M9+Q9+S9+T9+X9+AC9+AD9+AE9+AF9+AH9+U9+E9+AI9+Y9+N9+G9+AG9</f>
        <v>20</v>
      </c>
      <c r="AQ9" s="20">
        <f>+AB9+V9+H9+J9+P9</f>
        <v>4</v>
      </c>
    </row>
    <row r="10" spans="1:46" x14ac:dyDescent="0.2">
      <c r="AB10" t="s">
        <v>15</v>
      </c>
    </row>
    <row r="11" spans="1:46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  <c r="AC11" s="1"/>
      <c r="AD11" s="1"/>
      <c r="AE11" s="1"/>
      <c r="AF11" s="1"/>
      <c r="AG11" s="1"/>
      <c r="AK11" s="5"/>
    </row>
    <row r="12" spans="1:46" x14ac:dyDescent="0.2">
      <c r="A12" t="s">
        <v>1</v>
      </c>
      <c r="B12" s="38">
        <f>558/31*28</f>
        <v>504</v>
      </c>
      <c r="C12" s="38"/>
      <c r="D12" s="38">
        <f>1643/31*28</f>
        <v>1484</v>
      </c>
      <c r="E12" s="38"/>
      <c r="F12" s="38">
        <f>3379/31*28</f>
        <v>3052</v>
      </c>
      <c r="G12" s="38">
        <f>527/31*28</f>
        <v>476</v>
      </c>
      <c r="H12" s="38">
        <f>434*28/31</f>
        <v>392</v>
      </c>
      <c r="I12" s="38">
        <f>2542/31*28</f>
        <v>2296</v>
      </c>
      <c r="J12" s="38"/>
      <c r="K12" s="38">
        <v>1653</v>
      </c>
      <c r="L12" s="38">
        <f>1178/31*28</f>
        <v>1064</v>
      </c>
      <c r="M12" s="38">
        <f>775/31*28</f>
        <v>700</v>
      </c>
      <c r="N12" s="38">
        <v>392</v>
      </c>
      <c r="O12" s="38">
        <f>2232/31*28</f>
        <v>2016</v>
      </c>
      <c r="P12" s="38">
        <v>392</v>
      </c>
      <c r="Q12" s="38">
        <v>644</v>
      </c>
      <c r="R12" s="38">
        <v>2940</v>
      </c>
      <c r="S12" s="38">
        <v>9448</v>
      </c>
      <c r="T12" s="38">
        <f>3441/31*28</f>
        <v>3108</v>
      </c>
      <c r="U12" s="38">
        <f>6510/31*28</f>
        <v>5880</v>
      </c>
      <c r="V12" s="38">
        <f>1426/31*28</f>
        <v>1288</v>
      </c>
      <c r="W12" s="38">
        <v>700</v>
      </c>
      <c r="X12" s="38">
        <f>14384/31*28</f>
        <v>12992</v>
      </c>
      <c r="Y12" s="38">
        <f>1798/31/1*28</f>
        <v>1624</v>
      </c>
      <c r="Z12" s="38">
        <f>1240/31*28</f>
        <v>1120</v>
      </c>
      <c r="AA12" s="38"/>
      <c r="AB12" s="38">
        <f>465/31*28</f>
        <v>420</v>
      </c>
      <c r="AC12" s="38">
        <f>5580/31*28</f>
        <v>5040</v>
      </c>
      <c r="AD12" s="38">
        <f>12183/31*28</f>
        <v>11004</v>
      </c>
      <c r="AE12" s="38">
        <f>13*28</f>
        <v>364</v>
      </c>
      <c r="AF12" s="38">
        <v>6888</v>
      </c>
      <c r="AG12" s="38">
        <v>1679</v>
      </c>
      <c r="AH12" s="38">
        <v>1428</v>
      </c>
      <c r="AI12" s="38">
        <v>5040</v>
      </c>
      <c r="AJ12" s="38">
        <f>1054/31*28</f>
        <v>952</v>
      </c>
      <c r="AK12" s="56">
        <f>SUM(B12:AJ12)</f>
        <v>86980</v>
      </c>
      <c r="AL12">
        <f>+AC12+S12+X12+AD12+AF12+U12+AI12</f>
        <v>56292</v>
      </c>
      <c r="AM12" s="20">
        <f>+D12+I12+O12+R12+T12+Z12+E12+Y12+AG12+F12</f>
        <v>19319</v>
      </c>
      <c r="AN12">
        <f>+B12+Q12+AE12+AJ12+AH12+L12+M12+W12+V12+AB12+N12+K12+H12+G12+J12+P12</f>
        <v>11369</v>
      </c>
      <c r="AO12">
        <f>+R12+W12+Z12+AJ12+O12+I12+F12</f>
        <v>13076</v>
      </c>
      <c r="AP12" s="20">
        <f>+B12+D12+K12+L12+M12+Q12+S12+T12+X12+AC12+AD12+AE12+AF12+AH12+U12+E12+AI12+Y12+N12+G12+AG12</f>
        <v>71412</v>
      </c>
      <c r="AQ12" s="20">
        <f>+AB12+V12+H12+J12+P12</f>
        <v>2492</v>
      </c>
      <c r="AR12">
        <f>+AL12+AM12+AN12</f>
        <v>86980</v>
      </c>
      <c r="AS12">
        <f>+AL12+AM12+AN12</f>
        <v>86980</v>
      </c>
      <c r="AT12">
        <f>+AQ12+AP12+AO12</f>
        <v>86980</v>
      </c>
    </row>
    <row r="13" spans="1:46" x14ac:dyDescent="0.2">
      <c r="A13" t="s">
        <v>2</v>
      </c>
      <c r="B13" s="38">
        <v>408</v>
      </c>
      <c r="C13" s="38"/>
      <c r="D13" s="38">
        <v>1068</v>
      </c>
      <c r="E13" s="38"/>
      <c r="F13" s="38">
        <v>2777</v>
      </c>
      <c r="G13" s="38">
        <v>446</v>
      </c>
      <c r="H13" s="38">
        <v>314</v>
      </c>
      <c r="I13" s="38">
        <v>1508</v>
      </c>
      <c r="J13" s="38"/>
      <c r="K13" s="38">
        <v>1603</v>
      </c>
      <c r="L13" s="38">
        <v>967</v>
      </c>
      <c r="M13" s="38">
        <v>577</v>
      </c>
      <c r="N13" s="38">
        <f>+N12*0.6505</f>
        <v>254.99599999999998</v>
      </c>
      <c r="O13" s="38">
        <v>1651</v>
      </c>
      <c r="P13" s="38">
        <v>320</v>
      </c>
      <c r="Q13" s="38">
        <v>411</v>
      </c>
      <c r="R13" s="38">
        <v>2698</v>
      </c>
      <c r="S13" s="38">
        <v>1361</v>
      </c>
      <c r="T13" s="38">
        <v>2113</v>
      </c>
      <c r="U13" s="38">
        <v>4533</v>
      </c>
      <c r="V13" s="38">
        <v>786</v>
      </c>
      <c r="W13" s="38">
        <f>+W12*0.85</f>
        <v>595</v>
      </c>
      <c r="X13" s="38">
        <v>9094</v>
      </c>
      <c r="Y13" s="38">
        <v>1299</v>
      </c>
      <c r="Z13" s="38">
        <v>982</v>
      </c>
      <c r="AA13" s="38"/>
      <c r="AB13" s="38">
        <v>377</v>
      </c>
      <c r="AC13" s="38">
        <v>4062</v>
      </c>
      <c r="AD13" s="38">
        <v>10218</v>
      </c>
      <c r="AE13" s="38">
        <v>323</v>
      </c>
      <c r="AF13" s="38">
        <v>6490</v>
      </c>
      <c r="AG13" s="38">
        <v>1435</v>
      </c>
      <c r="AH13" s="38">
        <v>1178</v>
      </c>
      <c r="AI13" s="38">
        <v>4657</v>
      </c>
      <c r="AJ13" s="38">
        <v>862</v>
      </c>
      <c r="AK13" s="56">
        <f>SUM(B13:AJ13)</f>
        <v>65367.995999999999</v>
      </c>
      <c r="AL13">
        <f>+AC13+S13+X13+AD13+AF13+U13+AI13</f>
        <v>40415</v>
      </c>
      <c r="AM13" s="48">
        <f>+D13+I13+O13+R13+T13+Z13+E13+Y13+AG13+F13</f>
        <v>15531</v>
      </c>
      <c r="AN13">
        <f>+B13+Q13+AE13+AJ13+AH13+L13+M13+W13+V13+AB13+N13+K13+H13+G13+J13+P13</f>
        <v>9421.9959999999992</v>
      </c>
      <c r="AO13">
        <f>+R13+W13+Z13+AJ13+O13+I13+F13</f>
        <v>11073</v>
      </c>
      <c r="AP13" s="20">
        <f>+B13+D13+K13+L13+M13+Q13+S13+T13+X13+AC13+AD13+AE13+AF13+AH13+U13+E13+AI13+Y13+N13+G13+AG13</f>
        <v>52497.995999999999</v>
      </c>
      <c r="AQ13" s="20">
        <f>+AB13+V13+H13+J13+P13</f>
        <v>1797</v>
      </c>
      <c r="AR13">
        <f>+AL13+AM13+AN13</f>
        <v>65367.995999999999</v>
      </c>
    </row>
    <row r="14" spans="1:46" x14ac:dyDescent="0.2">
      <c r="A14" t="s">
        <v>4</v>
      </c>
      <c r="B14" s="3">
        <f>+B13/B12</f>
        <v>0.80952380952380953</v>
      </c>
      <c r="C14" s="3"/>
      <c r="D14" s="3">
        <f>+D13/D12</f>
        <v>0.71967654986522911</v>
      </c>
      <c r="E14" s="3"/>
      <c r="F14" s="3">
        <f t="shared" ref="F14:AB14" si="2">+F13/F12</f>
        <v>0.90989515072083882</v>
      </c>
      <c r="G14" s="3">
        <f t="shared" si="2"/>
        <v>0.93697478991596639</v>
      </c>
      <c r="H14" s="3">
        <f t="shared" si="2"/>
        <v>0.80102040816326525</v>
      </c>
      <c r="I14" s="3">
        <f t="shared" si="2"/>
        <v>0.65679442508710806</v>
      </c>
      <c r="J14" s="3"/>
      <c r="K14" s="3">
        <f t="shared" si="2"/>
        <v>0.96975196612220205</v>
      </c>
      <c r="L14" s="3">
        <f t="shared" si="2"/>
        <v>0.90883458646616544</v>
      </c>
      <c r="M14" s="3">
        <f t="shared" si="2"/>
        <v>0.82428571428571429</v>
      </c>
      <c r="N14" s="3">
        <f t="shared" si="2"/>
        <v>0.65049999999999997</v>
      </c>
      <c r="O14" s="3">
        <f t="shared" si="2"/>
        <v>0.81894841269841268</v>
      </c>
      <c r="P14" s="3">
        <f t="shared" si="2"/>
        <v>0.81632653061224492</v>
      </c>
      <c r="Q14" s="3">
        <f t="shared" si="2"/>
        <v>0.63819875776397517</v>
      </c>
      <c r="R14" s="3">
        <f t="shared" si="2"/>
        <v>0.91768707482993195</v>
      </c>
      <c r="S14" s="3">
        <f t="shared" si="2"/>
        <v>0.14405165114309906</v>
      </c>
      <c r="T14" s="3">
        <f t="shared" si="2"/>
        <v>0.67985842985842981</v>
      </c>
      <c r="U14" s="3">
        <f t="shared" si="2"/>
        <v>0.77091836734693875</v>
      </c>
      <c r="V14" s="3">
        <f t="shared" si="2"/>
        <v>0.61024844720496896</v>
      </c>
      <c r="W14" s="3">
        <f t="shared" si="2"/>
        <v>0.85</v>
      </c>
      <c r="X14" s="3">
        <f t="shared" si="2"/>
        <v>0.69996921182266014</v>
      </c>
      <c r="Y14" s="3">
        <f t="shared" si="2"/>
        <v>0.79987684729064035</v>
      </c>
      <c r="Z14" s="3">
        <f t="shared" si="2"/>
        <v>0.87678571428571428</v>
      </c>
      <c r="AA14" s="3"/>
      <c r="AB14" s="3">
        <f t="shared" si="2"/>
        <v>0.89761904761904765</v>
      </c>
      <c r="AC14" s="3">
        <f t="shared" ref="AC14:AQ14" si="3">+AC13/AC12</f>
        <v>0.80595238095238098</v>
      </c>
      <c r="AD14" s="3">
        <f t="shared" si="3"/>
        <v>0.9285714285714286</v>
      </c>
      <c r="AE14" s="3">
        <f t="shared" si="3"/>
        <v>0.88736263736263732</v>
      </c>
      <c r="AF14" s="3">
        <f t="shared" si="3"/>
        <v>0.9422183507549361</v>
      </c>
      <c r="AG14" s="3">
        <f t="shared" si="3"/>
        <v>0.85467540202501491</v>
      </c>
      <c r="AH14" s="3">
        <f t="shared" si="3"/>
        <v>0.82492997198879547</v>
      </c>
      <c r="AI14" s="3">
        <f t="shared" si="3"/>
        <v>0.92400793650793656</v>
      </c>
      <c r="AJ14" s="3">
        <f t="shared" si="3"/>
        <v>0.90546218487394958</v>
      </c>
      <c r="AK14" s="6">
        <f t="shared" si="3"/>
        <v>0.75152904115888708</v>
      </c>
      <c r="AL14" s="3">
        <f t="shared" si="3"/>
        <v>0.71795281745185813</v>
      </c>
      <c r="AM14" s="3">
        <f t="shared" si="3"/>
        <v>0.80392359852994466</v>
      </c>
      <c r="AN14" s="3">
        <f t="shared" si="3"/>
        <v>0.82874448060515427</v>
      </c>
      <c r="AO14" s="3">
        <f t="shared" si="3"/>
        <v>0.84681859895992662</v>
      </c>
      <c r="AP14" s="3">
        <f t="shared" si="3"/>
        <v>0.73514249705931778</v>
      </c>
      <c r="AQ14" s="3">
        <f t="shared" si="3"/>
        <v>0.721107544141252</v>
      </c>
    </row>
    <row r="15" spans="1:46" x14ac:dyDescent="0.2">
      <c r="A15" s="20"/>
      <c r="B15" s="20">
        <v>1</v>
      </c>
      <c r="C15" s="20"/>
      <c r="D15" s="20">
        <v>1</v>
      </c>
      <c r="E15" s="20"/>
      <c r="F15" s="20">
        <v>1</v>
      </c>
      <c r="G15" s="20">
        <v>1</v>
      </c>
      <c r="H15" s="20">
        <v>1</v>
      </c>
      <c r="I15" s="20">
        <v>1</v>
      </c>
      <c r="J15" s="20"/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>
        <v>1</v>
      </c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20">
        <v>1</v>
      </c>
      <c r="AK15" s="56">
        <f>SUM(B15:AJ15)</f>
        <v>31</v>
      </c>
      <c r="AL15" s="20">
        <f>+AC15+S15+X15+AD15+AF15+U15+AI15</f>
        <v>7</v>
      </c>
      <c r="AM15" s="20">
        <f>+D15+I15+O15+R15+T15+Z15+E15+Y15+AG15+F15</f>
        <v>9</v>
      </c>
      <c r="AN15" s="20">
        <f>+B15+Q15+AE15+AJ15+AH15+L15+M15+W15+V15+AB15+N15+K15+H15+G15+J15+P15</f>
        <v>15</v>
      </c>
      <c r="AO15" s="20">
        <f>+R15+W15+Z15+AJ15+O15+I15+F15</f>
        <v>7</v>
      </c>
      <c r="AP15" s="20">
        <f>+B15+D15+K15+L15+M15+Q15+S15+T15+X15+AC15+AD15+AE15+AF15+AH15+U15+E15+AI15+Y15+N15+G15+AG15</f>
        <v>20</v>
      </c>
      <c r="AQ15" s="20">
        <f>+AB15+V15+H15+J15+P15</f>
        <v>4</v>
      </c>
    </row>
    <row r="16" spans="1:46" x14ac:dyDescent="0.2">
      <c r="I16" t="s">
        <v>15</v>
      </c>
      <c r="AJ16" t="s">
        <v>15</v>
      </c>
    </row>
    <row r="17" spans="1:48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/>
      <c r="AC17" s="1"/>
      <c r="AD17" s="1"/>
      <c r="AE17" s="1"/>
      <c r="AF17" s="1"/>
      <c r="AG17" s="1"/>
      <c r="AK17" s="5"/>
    </row>
    <row r="18" spans="1:48" x14ac:dyDescent="0.2">
      <c r="A18" t="s">
        <v>1</v>
      </c>
      <c r="B18" s="38">
        <v>558</v>
      </c>
      <c r="C18" s="38">
        <f>21*31</f>
        <v>651</v>
      </c>
      <c r="D18" s="38">
        <v>1643</v>
      </c>
      <c r="E18" s="38"/>
      <c r="F18" s="38">
        <v>3379</v>
      </c>
      <c r="G18" s="38">
        <v>527</v>
      </c>
      <c r="H18" s="38">
        <v>434</v>
      </c>
      <c r="I18" s="38">
        <v>2542</v>
      </c>
      <c r="J18" s="38"/>
      <c r="K18" s="38">
        <v>1787</v>
      </c>
      <c r="L18" s="38">
        <v>1178</v>
      </c>
      <c r="M18" s="38">
        <v>775</v>
      </c>
      <c r="N18" s="38">
        <v>434</v>
      </c>
      <c r="O18" s="38">
        <v>2232</v>
      </c>
      <c r="P18" s="38">
        <v>434</v>
      </c>
      <c r="Q18" s="38">
        <v>713</v>
      </c>
      <c r="R18" s="38">
        <v>3038</v>
      </c>
      <c r="S18" s="38">
        <v>8246</v>
      </c>
      <c r="T18" s="38">
        <v>3441</v>
      </c>
      <c r="U18" s="38">
        <v>5880</v>
      </c>
      <c r="V18" s="38">
        <v>1426</v>
      </c>
      <c r="W18" s="38">
        <v>775</v>
      </c>
      <c r="X18" s="38">
        <v>14384</v>
      </c>
      <c r="Y18" s="38">
        <v>1798</v>
      </c>
      <c r="Z18" s="38">
        <v>1240</v>
      </c>
      <c r="AA18" s="38"/>
      <c r="AB18" s="38">
        <v>465</v>
      </c>
      <c r="AC18" s="38">
        <v>5580</v>
      </c>
      <c r="AD18" s="38">
        <v>12183</v>
      </c>
      <c r="AE18" s="38">
        <v>403</v>
      </c>
      <c r="AF18" s="38">
        <v>7657</v>
      </c>
      <c r="AG18" s="38">
        <v>1859</v>
      </c>
      <c r="AH18" s="38">
        <v>1581</v>
      </c>
      <c r="AI18" s="38">
        <v>5580</v>
      </c>
      <c r="AJ18" s="38">
        <v>1054</v>
      </c>
      <c r="AK18" s="57">
        <f>SUM(B18:AJ18)</f>
        <v>93877</v>
      </c>
      <c r="AL18">
        <f>+AC18+S18+X18+AD18+AF18+U18+AI18</f>
        <v>59510</v>
      </c>
      <c r="AM18" s="20">
        <f>+D18+I18+O18+R18+T18+Z18+E18+Y18+AG18+F18</f>
        <v>21172</v>
      </c>
      <c r="AN18">
        <f>+B18+Q18+AE18+AJ18+AH18+L18+M18+W18+V18+AB18+N18+K18+H18+G18+J18+P18+C18</f>
        <v>13195</v>
      </c>
      <c r="AO18">
        <f>+R18+W18+Z18+AJ18+O18+I18+F18</f>
        <v>14260</v>
      </c>
      <c r="AP18" s="20">
        <f>+B18+D18+K18+L18+M18+Q18+S18+T18+X18+AC18+AD18+AE18+AF18+AH18+U18+E18+AI18+Y18+N18+G18+AG18</f>
        <v>76207</v>
      </c>
      <c r="AQ18" s="20">
        <f>+AB18+V18+H18+J18+P18+C18</f>
        <v>3410</v>
      </c>
      <c r="AR18">
        <f>+AL18+AM18+AN18</f>
        <v>93877</v>
      </c>
      <c r="AS18">
        <f>+AO18+AP18+AQ18</f>
        <v>93877</v>
      </c>
    </row>
    <row r="19" spans="1:48" x14ac:dyDescent="0.2">
      <c r="A19" t="s">
        <v>2</v>
      </c>
      <c r="B19" s="38">
        <v>374</v>
      </c>
      <c r="C19" s="38">
        <v>435</v>
      </c>
      <c r="D19" s="38">
        <v>854</v>
      </c>
      <c r="E19" s="38"/>
      <c r="F19" s="38">
        <v>3109</v>
      </c>
      <c r="G19" s="38">
        <v>453</v>
      </c>
      <c r="H19" s="38">
        <v>216</v>
      </c>
      <c r="I19" s="38">
        <v>1825</v>
      </c>
      <c r="J19" s="38"/>
      <c r="K19" s="38">
        <v>1715</v>
      </c>
      <c r="L19" s="38">
        <v>1107</v>
      </c>
      <c r="M19" s="38">
        <v>596</v>
      </c>
      <c r="N19" s="38">
        <v>193</v>
      </c>
      <c r="O19" s="38">
        <v>1524</v>
      </c>
      <c r="P19" s="38">
        <v>327</v>
      </c>
      <c r="Q19" s="38">
        <v>256</v>
      </c>
      <c r="R19" s="38">
        <v>2961</v>
      </c>
      <c r="S19" s="38">
        <v>1278</v>
      </c>
      <c r="T19" s="38">
        <v>2374</v>
      </c>
      <c r="U19" s="38">
        <v>3075</v>
      </c>
      <c r="V19" s="38">
        <v>636</v>
      </c>
      <c r="W19" s="38">
        <f>+W18*0.84</f>
        <v>651</v>
      </c>
      <c r="X19" s="38">
        <v>9350</v>
      </c>
      <c r="Y19" s="38">
        <v>1349</v>
      </c>
      <c r="Z19" s="38">
        <v>1064</v>
      </c>
      <c r="AA19" s="38"/>
      <c r="AB19" s="38">
        <v>385</v>
      </c>
      <c r="AC19" s="38">
        <v>4519</v>
      </c>
      <c r="AD19" s="38">
        <f>+AD18*0.929</f>
        <v>11318.007000000001</v>
      </c>
      <c r="AE19" s="38">
        <v>269</v>
      </c>
      <c r="AF19" s="38">
        <v>7273</v>
      </c>
      <c r="AG19" s="38">
        <v>1422</v>
      </c>
      <c r="AH19" s="38">
        <v>1136</v>
      </c>
      <c r="AI19" s="38">
        <v>5249</v>
      </c>
      <c r="AJ19" s="38">
        <v>990</v>
      </c>
      <c r="AK19" s="57">
        <f>SUM(B19:AJ19)</f>
        <v>68283.006999999998</v>
      </c>
      <c r="AL19">
        <f>+AC19+S19+X19+AD19+AF19+U19+AI19</f>
        <v>42062.006999999998</v>
      </c>
      <c r="AM19" s="48">
        <f>+D19+I19+O19+R19+T19+Z19+E19+Y19+AG19+F19</f>
        <v>16482</v>
      </c>
      <c r="AN19">
        <f>+B19+Q19+AE19+AJ19+AH19+L19+M19+W19+V19+AB19+N19+K19+H19+G19+J19+P19+C19</f>
        <v>9739</v>
      </c>
      <c r="AO19">
        <f>+R19+W19+Z19+AJ19+O19+I19+F19</f>
        <v>12124</v>
      </c>
      <c r="AP19" s="20">
        <f>+B19+D19+K19+L19+M19+Q19+S19+T19+X19+AC19+AD19+AE19+AF19+AH19+U19+E19+AI19+Y19+N19+G19+AG19</f>
        <v>54160.006999999998</v>
      </c>
      <c r="AQ19" s="20">
        <f>+AB19+V19+H19+J19+P19+C19</f>
        <v>1999</v>
      </c>
      <c r="AR19">
        <f>+AL19+AM19+AN19</f>
        <v>68283.006999999998</v>
      </c>
      <c r="AS19">
        <f>+AL19+AM19+AN19</f>
        <v>68283.006999999998</v>
      </c>
    </row>
    <row r="20" spans="1:48" x14ac:dyDescent="0.2">
      <c r="A20" t="s">
        <v>4</v>
      </c>
      <c r="B20" s="3">
        <f>+B19/B18</f>
        <v>0.67025089605734767</v>
      </c>
      <c r="C20" s="3">
        <f>+C19/C18</f>
        <v>0.66820276497695852</v>
      </c>
      <c r="D20" s="3">
        <f>+D19/D18</f>
        <v>0.51978088861838101</v>
      </c>
      <c r="E20" s="3"/>
      <c r="F20" s="3">
        <f>+F19/F18</f>
        <v>0.92009470257472625</v>
      </c>
      <c r="G20" s="3">
        <f>+G19/G18</f>
        <v>0.85958254269449719</v>
      </c>
      <c r="H20" s="3">
        <f t="shared" ref="H20:AB20" si="4">+H19/H18</f>
        <v>0.49769585253456222</v>
      </c>
      <c r="I20" s="3">
        <f t="shared" si="4"/>
        <v>0.71793863099921318</v>
      </c>
      <c r="J20" s="3"/>
      <c r="K20" s="3">
        <f t="shared" si="4"/>
        <v>0.95970900951315052</v>
      </c>
      <c r="L20" s="3">
        <f t="shared" si="4"/>
        <v>0.93972835314091685</v>
      </c>
      <c r="M20" s="3">
        <f t="shared" si="4"/>
        <v>0.76903225806451614</v>
      </c>
      <c r="N20" s="3">
        <f t="shared" si="4"/>
        <v>0.4447004608294931</v>
      </c>
      <c r="O20" s="3">
        <f t="shared" si="4"/>
        <v>0.68279569892473113</v>
      </c>
      <c r="P20" s="3">
        <f t="shared" si="4"/>
        <v>0.75345622119815669</v>
      </c>
      <c r="Q20" s="3">
        <f t="shared" si="4"/>
        <v>0.35904628330995791</v>
      </c>
      <c r="R20" s="3">
        <f t="shared" si="4"/>
        <v>0.97465437788018439</v>
      </c>
      <c r="S20" s="3">
        <f t="shared" si="4"/>
        <v>0.15498423478049964</v>
      </c>
      <c r="T20" s="3">
        <f t="shared" si="4"/>
        <v>0.68991572217378672</v>
      </c>
      <c r="U20" s="3">
        <f t="shared" si="4"/>
        <v>0.52295918367346939</v>
      </c>
      <c r="V20" s="3">
        <f t="shared" si="4"/>
        <v>0.44600280504908835</v>
      </c>
      <c r="W20" s="3">
        <f t="shared" si="4"/>
        <v>0.84</v>
      </c>
      <c r="X20" s="3">
        <f t="shared" si="4"/>
        <v>0.65002780867630705</v>
      </c>
      <c r="Y20" s="3">
        <f t="shared" si="4"/>
        <v>0.75027808676307006</v>
      </c>
      <c r="Z20" s="3">
        <f t="shared" si="4"/>
        <v>0.85806451612903223</v>
      </c>
      <c r="AA20" s="3"/>
      <c r="AB20" s="3">
        <f t="shared" si="4"/>
        <v>0.82795698924731187</v>
      </c>
      <c r="AC20" s="3">
        <f t="shared" ref="AC20:AQ20" si="5">+AC19/AC18</f>
        <v>0.80985663082437276</v>
      </c>
      <c r="AD20" s="3">
        <f t="shared" si="5"/>
        <v>0.92900000000000016</v>
      </c>
      <c r="AE20" s="3">
        <f t="shared" si="5"/>
        <v>0.66749379652605456</v>
      </c>
      <c r="AF20" s="3">
        <f t="shared" si="5"/>
        <v>0.94984981063079532</v>
      </c>
      <c r="AG20" s="3">
        <f t="shared" si="5"/>
        <v>0.7649273803119957</v>
      </c>
      <c r="AH20" s="3">
        <f t="shared" si="5"/>
        <v>0.71853257432005058</v>
      </c>
      <c r="AI20" s="3">
        <f t="shared" si="5"/>
        <v>0.94068100358422935</v>
      </c>
      <c r="AJ20" s="3">
        <f t="shared" si="5"/>
        <v>0.93927893738140422</v>
      </c>
      <c r="AK20" s="6">
        <f t="shared" si="5"/>
        <v>0.72736673519605444</v>
      </c>
      <c r="AL20" s="3">
        <f t="shared" si="5"/>
        <v>0.70680569652159297</v>
      </c>
      <c r="AM20" s="3">
        <f t="shared" si="5"/>
        <v>0.77848101265822789</v>
      </c>
      <c r="AN20" s="3">
        <f t="shared" si="5"/>
        <v>0.73808260704812434</v>
      </c>
      <c r="AO20" s="3">
        <f t="shared" si="5"/>
        <v>0.85021037868162697</v>
      </c>
      <c r="AP20" s="3">
        <f t="shared" si="5"/>
        <v>0.71069595968874244</v>
      </c>
      <c r="AQ20" s="3">
        <f t="shared" si="5"/>
        <v>0.58621700879765393</v>
      </c>
      <c r="AV20">
        <f>+AK6+AK12+AK18</f>
        <v>274682</v>
      </c>
    </row>
    <row r="21" spans="1:48" x14ac:dyDescent="0.2">
      <c r="A21" s="20"/>
      <c r="B21" s="20">
        <v>1</v>
      </c>
      <c r="C21" s="20">
        <v>1</v>
      </c>
      <c r="D21" s="20">
        <v>1</v>
      </c>
      <c r="E21" s="20"/>
      <c r="F21" s="20">
        <v>1</v>
      </c>
      <c r="G21" s="20">
        <v>1</v>
      </c>
      <c r="H21" s="20">
        <v>1</v>
      </c>
      <c r="I21" s="20">
        <v>1</v>
      </c>
      <c r="J21" s="20"/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>
        <v>1</v>
      </c>
      <c r="AA21" s="20"/>
      <c r="AB21" s="38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20">
        <v>1</v>
      </c>
      <c r="AK21" s="57">
        <f>SUM(B21:AJ21)</f>
        <v>32</v>
      </c>
      <c r="AL21" s="20">
        <f>+AC21+S21+X21+AD21+AF21+U21+AI21</f>
        <v>7</v>
      </c>
      <c r="AM21" s="20">
        <f>+D21+I21+O21+R21+T21+Z21+E21+Y21+AG21+F21</f>
        <v>9</v>
      </c>
      <c r="AN21" s="20">
        <f>+B21+Q21+AE21+AJ21+AH21+L21+M21+W21+V21+AB21+N21+K21+H21+G21+J21+P21+C21</f>
        <v>16</v>
      </c>
      <c r="AO21" s="20">
        <f>+R21+W21+Z21+AJ21+O21+I21+F21</f>
        <v>7</v>
      </c>
      <c r="AP21" s="20">
        <f>+B21+D21+K21+L21+M21+Q21+S21+T21+X21+AC21+AD21+AE21+AF21+AH21+U21+E21+AI21+Y21+N21+G21+AG21</f>
        <v>20</v>
      </c>
      <c r="AQ21" s="20">
        <f>+AB21+V21+H21+J21+P21+C21</f>
        <v>5</v>
      </c>
      <c r="AV21">
        <f>+AK7+AK13+AK19</f>
        <v>201950.32500000001</v>
      </c>
    </row>
    <row r="22" spans="1:48" x14ac:dyDescent="0.2">
      <c r="B22" s="38"/>
      <c r="C22" s="38"/>
      <c r="AV22">
        <f>+AV21/AV20</f>
        <v>0.73521499406586532</v>
      </c>
    </row>
    <row r="23" spans="1:48" x14ac:dyDescent="0.2">
      <c r="A23" s="2" t="s">
        <v>56</v>
      </c>
      <c r="B23" s="38"/>
      <c r="C23" s="3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C23" s="1"/>
      <c r="AD23" s="1"/>
      <c r="AE23" s="1"/>
      <c r="AF23" s="1"/>
      <c r="AG23" s="1"/>
      <c r="AK23" s="5"/>
    </row>
    <row r="24" spans="1:48" x14ac:dyDescent="0.2">
      <c r="A24" t="s">
        <v>1</v>
      </c>
      <c r="B24" s="38">
        <f>558/31*30</f>
        <v>540</v>
      </c>
      <c r="C24" s="38">
        <f>651/31*30</f>
        <v>630</v>
      </c>
      <c r="D24" s="38">
        <v>1590</v>
      </c>
      <c r="E24" s="38"/>
      <c r="F24" s="38">
        <f>3379/31*30</f>
        <v>3270</v>
      </c>
      <c r="G24" s="38">
        <f>527/31*30</f>
        <v>510</v>
      </c>
      <c r="H24" s="38">
        <v>420</v>
      </c>
      <c r="I24" s="38">
        <f>2542/31*30</f>
        <v>2460</v>
      </c>
      <c r="J24" s="38"/>
      <c r="K24" s="38">
        <v>1710</v>
      </c>
      <c r="L24" s="38">
        <f>1178/31*30</f>
        <v>1140</v>
      </c>
      <c r="M24" s="38">
        <v>750</v>
      </c>
      <c r="N24" s="38">
        <v>420</v>
      </c>
      <c r="O24" s="38">
        <f>2232/31*30</f>
        <v>2160</v>
      </c>
      <c r="P24" s="38">
        <f>434/31*30</f>
        <v>420</v>
      </c>
      <c r="Q24" s="38">
        <v>684</v>
      </c>
      <c r="R24" s="38">
        <v>2940</v>
      </c>
      <c r="S24" s="38">
        <f>8246/31*30</f>
        <v>7980</v>
      </c>
      <c r="T24" s="38">
        <f>3441/31*30</f>
        <v>3330</v>
      </c>
      <c r="U24" s="38">
        <f>6510/31*30</f>
        <v>6300</v>
      </c>
      <c r="V24" s="38">
        <f>1426/31*30</f>
        <v>1380</v>
      </c>
      <c r="W24" s="38">
        <f>775/31*30</f>
        <v>750</v>
      </c>
      <c r="X24" s="38">
        <f>14384/31*30</f>
        <v>13920</v>
      </c>
      <c r="Y24" s="38">
        <f>1798/31*30</f>
        <v>1740</v>
      </c>
      <c r="Z24" s="38">
        <f>1240/31*30</f>
        <v>1200</v>
      </c>
      <c r="AA24" s="38"/>
      <c r="AB24" s="38">
        <f>465/31*30</f>
        <v>450</v>
      </c>
      <c r="AC24" s="38">
        <f>5580/31*30</f>
        <v>5400</v>
      </c>
      <c r="AD24" s="38">
        <f>12183/31*30</f>
        <v>11790</v>
      </c>
      <c r="AE24" s="38">
        <f>13*30</f>
        <v>390</v>
      </c>
      <c r="AF24" s="38">
        <v>7410</v>
      </c>
      <c r="AG24" s="38">
        <v>1799</v>
      </c>
      <c r="AH24" s="38">
        <v>1500</v>
      </c>
      <c r="AI24" s="38">
        <v>5400</v>
      </c>
      <c r="AJ24" s="38">
        <f>1054/31*30</f>
        <v>1020</v>
      </c>
      <c r="AK24" s="58">
        <f>SUM(B24:AJ24)</f>
        <v>91403</v>
      </c>
      <c r="AL24">
        <f>+AC24+S24+X24+AD24+AF24+U24+AI24</f>
        <v>58200</v>
      </c>
      <c r="AM24" s="20">
        <f>+D24+I24+O24+R24+T24+Z24+E24+Y24+AG24+F24</f>
        <v>20489</v>
      </c>
      <c r="AN24">
        <f>+B24+Q24+AE24+AJ24+AH24+L24+M24+W24+V24+AB24+N24+K24+H24+G24+J24+P24+C24</f>
        <v>12714</v>
      </c>
      <c r="AO24">
        <f>+R24+W24+Z24+AJ24+O24+I24+F24</f>
        <v>13800</v>
      </c>
      <c r="AP24" s="20">
        <f>+B24+D24+K24+L24+M24+Q24+S24+T24+X24+AC24+AD24+AE24+AF24+AH24+U24+E24+AI24+Y24+N24+G24+AG24</f>
        <v>74303</v>
      </c>
      <c r="AQ24" s="20">
        <f>+AB24+V24+H24+J24+P24+C24</f>
        <v>3300</v>
      </c>
      <c r="AR24">
        <f>+AL24+AM24+AN24</f>
        <v>91403</v>
      </c>
      <c r="AS24">
        <f>+AL24+AM24+AN24</f>
        <v>91403</v>
      </c>
    </row>
    <row r="25" spans="1:48" x14ac:dyDescent="0.2">
      <c r="A25" t="s">
        <v>2</v>
      </c>
      <c r="B25" s="38">
        <v>443</v>
      </c>
      <c r="C25" s="38">
        <v>372</v>
      </c>
      <c r="D25" s="38">
        <v>668</v>
      </c>
      <c r="E25" s="38"/>
      <c r="F25" s="38">
        <f>+F24*0.6</f>
        <v>1962</v>
      </c>
      <c r="G25" s="38">
        <v>368</v>
      </c>
      <c r="H25" s="38">
        <v>180</v>
      </c>
      <c r="I25" s="38">
        <v>1486</v>
      </c>
      <c r="J25" s="38"/>
      <c r="K25" s="38">
        <v>1625</v>
      </c>
      <c r="L25" s="38">
        <v>906</v>
      </c>
      <c r="M25" s="38">
        <v>488</v>
      </c>
      <c r="N25" s="38">
        <v>240</v>
      </c>
      <c r="O25" s="38">
        <v>1326</v>
      </c>
      <c r="P25" s="38">
        <v>170</v>
      </c>
      <c r="Q25" s="38">
        <v>130</v>
      </c>
      <c r="R25" s="38">
        <v>2741</v>
      </c>
      <c r="S25" s="38">
        <v>519</v>
      </c>
      <c r="T25" s="38">
        <v>713</v>
      </c>
      <c r="U25" s="38">
        <f>+U24*0.19</f>
        <v>1197</v>
      </c>
      <c r="V25" s="38">
        <v>731</v>
      </c>
      <c r="W25" s="38">
        <f>+W24*0.78</f>
        <v>585</v>
      </c>
      <c r="X25" s="38">
        <v>5011</v>
      </c>
      <c r="Y25" s="38">
        <v>974</v>
      </c>
      <c r="Z25" s="38">
        <v>881</v>
      </c>
      <c r="AA25" s="38"/>
      <c r="AB25">
        <v>338</v>
      </c>
      <c r="AC25" s="38">
        <v>3337</v>
      </c>
      <c r="AD25" s="38">
        <v>10092</v>
      </c>
      <c r="AE25" s="38">
        <v>215</v>
      </c>
      <c r="AF25" s="38">
        <v>6632</v>
      </c>
      <c r="AG25" s="38">
        <v>1146</v>
      </c>
      <c r="AH25" s="38">
        <v>743</v>
      </c>
      <c r="AI25" s="38">
        <v>4739</v>
      </c>
      <c r="AJ25" s="38">
        <f>+AJ24*0.65</f>
        <v>663</v>
      </c>
      <c r="AK25" s="58">
        <f>SUM(B25:AJ25)</f>
        <v>51621</v>
      </c>
      <c r="AL25">
        <f>+AC25+S25+X25+AD25+AF25+U25+AI25</f>
        <v>31527</v>
      </c>
      <c r="AM25" s="48">
        <f>+D25+I25+O25+R25+T25+Z25+E25+Y25+AG25+F25</f>
        <v>11897</v>
      </c>
      <c r="AN25">
        <f>+B25+Q25+AE25+AJ25+AH25+L25+M25+W25+V25+AB25+N25+K25+H25+G25+J25+P25+C25</f>
        <v>8197</v>
      </c>
      <c r="AO25">
        <f>+R25+W25+Z25+AJ25+O25+I25+F25</f>
        <v>9644</v>
      </c>
      <c r="AP25" s="20">
        <f>+B25+D25+K25+L25+M25+Q25+S25+T25+X25+AC25+AD25+AE25+AF25+AH25+U25+E25+AI25+Y25+N25+G25+AG25</f>
        <v>40186</v>
      </c>
      <c r="AQ25" s="20">
        <f>+AB25+V25+H25+J25+P25+C25</f>
        <v>1791</v>
      </c>
      <c r="AR25">
        <f>+AL25+AM25+AN25</f>
        <v>51621</v>
      </c>
      <c r="AS25">
        <f>+AL25+AM25+AN25</f>
        <v>51621</v>
      </c>
    </row>
    <row r="26" spans="1:48" x14ac:dyDescent="0.2">
      <c r="A26" t="s">
        <v>4</v>
      </c>
      <c r="B26" s="3">
        <f>+B25/B24</f>
        <v>0.82037037037037042</v>
      </c>
      <c r="C26" s="3">
        <f>+C25/C24</f>
        <v>0.59047619047619049</v>
      </c>
      <c r="D26" s="3">
        <f>+D25/D24</f>
        <v>0.42012578616352203</v>
      </c>
      <c r="E26" s="3"/>
      <c r="F26" s="3">
        <f>+F25/F24</f>
        <v>0.6</v>
      </c>
      <c r="G26" s="3">
        <f>+G25/G24</f>
        <v>0.72156862745098038</v>
      </c>
      <c r="H26" s="3">
        <f t="shared" ref="H26:AB26" si="6">+H25/H24</f>
        <v>0.42857142857142855</v>
      </c>
      <c r="I26" s="3">
        <f t="shared" si="6"/>
        <v>0.60406504065040656</v>
      </c>
      <c r="J26" s="3"/>
      <c r="K26" s="3">
        <f t="shared" si="6"/>
        <v>0.95029239766081874</v>
      </c>
      <c r="L26" s="3">
        <f t="shared" si="6"/>
        <v>0.79473684210526319</v>
      </c>
      <c r="M26" s="3">
        <f t="shared" si="6"/>
        <v>0.65066666666666662</v>
      </c>
      <c r="N26" s="3">
        <f t="shared" si="6"/>
        <v>0.5714285714285714</v>
      </c>
      <c r="O26" s="3">
        <f t="shared" si="6"/>
        <v>0.61388888888888893</v>
      </c>
      <c r="P26" s="3">
        <f t="shared" si="6"/>
        <v>0.40476190476190477</v>
      </c>
      <c r="Q26" s="3">
        <f>+Q25/Q24</f>
        <v>0.19005847953216373</v>
      </c>
      <c r="R26" s="3">
        <f t="shared" si="6"/>
        <v>0.93231292517006803</v>
      </c>
      <c r="S26" s="3">
        <f>+S25/S24</f>
        <v>6.5037593984962408E-2</v>
      </c>
      <c r="T26" s="3">
        <f t="shared" si="6"/>
        <v>0.2141141141141141</v>
      </c>
      <c r="U26" s="3">
        <f t="shared" si="6"/>
        <v>0.19</v>
      </c>
      <c r="V26" s="3">
        <f t="shared" si="6"/>
        <v>0.52971014492753621</v>
      </c>
      <c r="W26" s="3">
        <f t="shared" si="6"/>
        <v>0.78</v>
      </c>
      <c r="X26" s="3">
        <f t="shared" si="6"/>
        <v>0.35998563218390806</v>
      </c>
      <c r="Y26" s="3">
        <f t="shared" si="6"/>
        <v>0.55977011494252871</v>
      </c>
      <c r="Z26" s="3">
        <f t="shared" si="6"/>
        <v>0.73416666666666663</v>
      </c>
      <c r="AA26" s="3"/>
      <c r="AB26" s="3">
        <f t="shared" si="6"/>
        <v>0.75111111111111106</v>
      </c>
      <c r="AC26" s="3">
        <f t="shared" ref="AC26:AQ26" si="7">+AC25/AC24</f>
        <v>0.61796296296296294</v>
      </c>
      <c r="AD26" s="3">
        <f t="shared" si="7"/>
        <v>0.8559796437659033</v>
      </c>
      <c r="AE26" s="3">
        <f t="shared" si="7"/>
        <v>0.55128205128205132</v>
      </c>
      <c r="AF26" s="3">
        <f t="shared" si="7"/>
        <v>0.89500674763832655</v>
      </c>
      <c r="AG26" s="3">
        <f t="shared" si="7"/>
        <v>0.63702056698165643</v>
      </c>
      <c r="AH26" s="3">
        <f t="shared" si="7"/>
        <v>0.49533333333333335</v>
      </c>
      <c r="AI26" s="3">
        <f t="shared" si="7"/>
        <v>0.87759259259259259</v>
      </c>
      <c r="AJ26" s="3">
        <f t="shared" si="7"/>
        <v>0.65</v>
      </c>
      <c r="AK26" s="6">
        <f t="shared" si="7"/>
        <v>0.5647626445521482</v>
      </c>
      <c r="AL26" s="3">
        <f t="shared" si="7"/>
        <v>0.54170103092783506</v>
      </c>
      <c r="AM26" s="3">
        <f t="shared" si="7"/>
        <v>0.58065303333496021</v>
      </c>
      <c r="AN26" s="3">
        <f t="shared" si="7"/>
        <v>0.64472235331131034</v>
      </c>
      <c r="AO26" s="3">
        <f t="shared" si="7"/>
        <v>0.6988405797101449</v>
      </c>
      <c r="AP26" s="3">
        <f t="shared" si="7"/>
        <v>0.54083953541579743</v>
      </c>
      <c r="AQ26" s="3">
        <f t="shared" si="7"/>
        <v>0.54272727272727272</v>
      </c>
    </row>
    <row r="27" spans="1:48" x14ac:dyDescent="0.2">
      <c r="A27" s="20"/>
      <c r="B27" s="20">
        <v>1</v>
      </c>
      <c r="C27" s="20">
        <v>1</v>
      </c>
      <c r="D27" s="20">
        <v>1</v>
      </c>
      <c r="E27" s="20"/>
      <c r="F27" s="20">
        <v>1</v>
      </c>
      <c r="G27" s="20">
        <v>1</v>
      </c>
      <c r="H27" s="20">
        <v>1</v>
      </c>
      <c r="I27" s="20">
        <v>1</v>
      </c>
      <c r="J27" s="20"/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>
        <v>1</v>
      </c>
      <c r="AA27" s="20"/>
      <c r="AB27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20">
        <v>1</v>
      </c>
      <c r="AK27" s="58">
        <f>SUM(B27:AJ27)</f>
        <v>32</v>
      </c>
      <c r="AL27" s="20">
        <f>+AC27+S27+X27+AD27+AF27+U27+AI27</f>
        <v>7</v>
      </c>
      <c r="AM27" s="20">
        <f>+D27+I27+O27+R27+T27+Z27+E27+Y27+AG27+F27</f>
        <v>9</v>
      </c>
      <c r="AN27" s="20">
        <f>+B27+Q27+AE27+AJ27+AH27+L27+M27+W27+V27+AB27+N27+K27+H27+G27+J27+P27+C27</f>
        <v>16</v>
      </c>
      <c r="AO27" s="20">
        <f>+R27+W27+Z27+AJ27+O27+I27+F27</f>
        <v>7</v>
      </c>
      <c r="AP27" s="20">
        <f>+B27+D27+K27+L27+M27+Q27+S27+T27+X27+AC27+AD27+AE27+AF27+AH27+U27+E27+AI27+Y27+N27+G27+AG27</f>
        <v>20</v>
      </c>
      <c r="AQ27" s="20">
        <f>+AB27+V27+H27+J27+P27+C27</f>
        <v>5</v>
      </c>
    </row>
    <row r="29" spans="1:48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C29" s="1"/>
      <c r="AD29" s="1"/>
      <c r="AE29" s="1"/>
      <c r="AF29" s="1"/>
      <c r="AG29" s="1"/>
      <c r="AK29" s="5"/>
    </row>
    <row r="30" spans="1:48" x14ac:dyDescent="0.2">
      <c r="A30" t="s">
        <v>1</v>
      </c>
      <c r="B30" s="38">
        <v>558</v>
      </c>
      <c r="C30" s="38">
        <v>651</v>
      </c>
      <c r="D30" s="38">
        <v>1643</v>
      </c>
      <c r="E30" s="38"/>
      <c r="F30" s="38">
        <v>3379</v>
      </c>
      <c r="G30" s="38">
        <v>527</v>
      </c>
      <c r="H30" s="38">
        <v>434</v>
      </c>
      <c r="I30" s="38">
        <v>2542</v>
      </c>
      <c r="J30" s="38"/>
      <c r="K30" s="38">
        <v>1787</v>
      </c>
      <c r="L30" s="38">
        <v>1178</v>
      </c>
      <c r="M30" s="38">
        <v>775</v>
      </c>
      <c r="N30" s="38">
        <v>434</v>
      </c>
      <c r="O30" s="38">
        <v>2232</v>
      </c>
      <c r="P30" s="38">
        <v>434</v>
      </c>
      <c r="Q30" s="38">
        <v>189</v>
      </c>
      <c r="R30" s="38">
        <v>3038</v>
      </c>
      <c r="S30" s="38">
        <v>8246</v>
      </c>
      <c r="T30" s="38">
        <v>3441</v>
      </c>
      <c r="U30" s="38">
        <v>5880</v>
      </c>
      <c r="V30" s="38">
        <v>1426</v>
      </c>
      <c r="W30" s="38">
        <v>775</v>
      </c>
      <c r="X30" s="38">
        <v>14384</v>
      </c>
      <c r="Y30" s="38">
        <v>1798</v>
      </c>
      <c r="Z30" s="38">
        <v>1240</v>
      </c>
      <c r="AA30" s="38"/>
      <c r="AB30" s="38">
        <v>465</v>
      </c>
      <c r="AC30" s="38">
        <v>5580</v>
      </c>
      <c r="AD30" s="38">
        <v>12183</v>
      </c>
      <c r="AE30" s="38">
        <v>403</v>
      </c>
      <c r="AF30" s="38">
        <v>7657</v>
      </c>
      <c r="AG30" s="38">
        <v>1859</v>
      </c>
      <c r="AH30" s="38">
        <v>1530</v>
      </c>
      <c r="AI30" s="38">
        <v>5580</v>
      </c>
      <c r="AJ30" s="38">
        <v>1054</v>
      </c>
      <c r="AK30" s="59">
        <f>SUM(B30:AJ30)</f>
        <v>93302</v>
      </c>
      <c r="AL30">
        <f>+AC30+S30+X30+AD30+AF30+U30+AI30</f>
        <v>59510</v>
      </c>
      <c r="AM30" s="20">
        <f>+D30+I30+O30+R30+T30+Z30+E30+Y30+AG30+F30</f>
        <v>21172</v>
      </c>
      <c r="AN30">
        <f>+B30+Q30+AE30+AJ30+AH30+L30+M30+W30+V30+AB30+N30+K30+H30+G30+J30+P30+C30</f>
        <v>12620</v>
      </c>
      <c r="AO30">
        <f>+R30+W30+Z30+AJ30+O30+I30+F30</f>
        <v>14260</v>
      </c>
      <c r="AP30" s="20">
        <f>+B30+D30+K30+L30+M30+Q30+S30+T30+X30+AC30+AD30+AE30+AF30+AH30+U30+E30+AI30+Y30+N30+G30+AG30</f>
        <v>75632</v>
      </c>
      <c r="AQ30" s="20">
        <f>+AB30+V30+H30+J30+P30+C30</f>
        <v>3410</v>
      </c>
      <c r="AR30">
        <f>+AL30+AM30+AN30</f>
        <v>93302</v>
      </c>
      <c r="AS30">
        <f>+AL30+AM30+AN30</f>
        <v>93302</v>
      </c>
    </row>
    <row r="31" spans="1:48" x14ac:dyDescent="0.2">
      <c r="A31" t="s">
        <v>2</v>
      </c>
      <c r="B31" s="45">
        <v>123</v>
      </c>
      <c r="C31" s="45">
        <v>340</v>
      </c>
      <c r="D31" s="45">
        <v>460</v>
      </c>
      <c r="E31" s="45"/>
      <c r="F31" s="45">
        <v>2230</v>
      </c>
      <c r="G31" s="45">
        <v>350</v>
      </c>
      <c r="H31" s="45">
        <v>75</v>
      </c>
      <c r="I31" s="45">
        <v>1174</v>
      </c>
      <c r="J31" s="45"/>
      <c r="K31" s="45">
        <v>1662</v>
      </c>
      <c r="L31" s="45">
        <v>660</v>
      </c>
      <c r="M31" s="45">
        <v>603</v>
      </c>
      <c r="N31" s="45">
        <v>125</v>
      </c>
      <c r="O31" s="45">
        <v>1219</v>
      </c>
      <c r="P31" s="45">
        <v>92</v>
      </c>
      <c r="Q31" s="45">
        <v>85</v>
      </c>
      <c r="R31" s="45">
        <v>2873</v>
      </c>
      <c r="S31" s="45">
        <v>330</v>
      </c>
      <c r="T31" s="45">
        <v>764</v>
      </c>
      <c r="U31" s="45">
        <v>1705</v>
      </c>
      <c r="V31" s="45">
        <v>513</v>
      </c>
      <c r="W31" s="45">
        <v>581</v>
      </c>
      <c r="X31" s="45">
        <v>4315</v>
      </c>
      <c r="Y31" s="45">
        <v>809</v>
      </c>
      <c r="Z31" s="45">
        <v>663</v>
      </c>
      <c r="AA31" s="45"/>
      <c r="AB31" s="45">
        <v>209</v>
      </c>
      <c r="AC31" s="45">
        <v>3379</v>
      </c>
      <c r="AD31" s="45">
        <v>11062</v>
      </c>
      <c r="AE31" s="45">
        <v>190</v>
      </c>
      <c r="AF31" s="45">
        <v>5925</v>
      </c>
      <c r="AG31" s="45">
        <v>950</v>
      </c>
      <c r="AH31" s="45">
        <v>735</v>
      </c>
      <c r="AI31" s="45">
        <v>4288</v>
      </c>
      <c r="AJ31" s="45">
        <v>605</v>
      </c>
      <c r="AK31" s="59">
        <f>SUM(B31:AJ31)</f>
        <v>49094</v>
      </c>
      <c r="AL31">
        <f>+AC31+S31+X31+AD31+AF31+U31+AI31</f>
        <v>31004</v>
      </c>
      <c r="AM31" s="48">
        <f>+D31+I31+O31+R31+T31+Z31+E31+Y31+AG31+F31</f>
        <v>11142</v>
      </c>
      <c r="AN31">
        <f>+B31+Q31+AE31+AJ31+AH31+L31+M31+W31+V31+AB31+N31+K31+H31+G31+J31+P31+C31</f>
        <v>6948</v>
      </c>
      <c r="AO31">
        <f>+R31+W31+Z31+AJ31+O31+I31+F31</f>
        <v>9345</v>
      </c>
      <c r="AP31" s="20">
        <f>+B31+D31+K31+L31+M31+Q31+S31+T31+X31+AC31+AD31+AE31+AF31+AH31+U31+E31+AI31+Y31+N31+G31+AG31</f>
        <v>38520</v>
      </c>
      <c r="AQ31" s="20">
        <f>+AB31+V31+H31+J31+P31+C31</f>
        <v>1229</v>
      </c>
      <c r="AR31">
        <f>+AL31+AM31+AN31</f>
        <v>49094</v>
      </c>
      <c r="AS31">
        <f>+AL31+AM31+AN31</f>
        <v>49094</v>
      </c>
    </row>
    <row r="32" spans="1:48" x14ac:dyDescent="0.2">
      <c r="A32" t="s">
        <v>4</v>
      </c>
      <c r="B32" s="3">
        <f>+B31/B30</f>
        <v>0.22043010752688172</v>
      </c>
      <c r="C32" s="3">
        <f>+C31/C30</f>
        <v>0.52227342549923195</v>
      </c>
      <c r="D32" s="3">
        <f>+D31/D30</f>
        <v>0.27997565429093124</v>
      </c>
      <c r="E32" s="3"/>
      <c r="F32" s="3">
        <f t="shared" ref="F32:AB32" si="8">+F31/F30</f>
        <v>0.65995856762355731</v>
      </c>
      <c r="G32" s="3">
        <f t="shared" si="8"/>
        <v>0.66413662239089188</v>
      </c>
      <c r="H32" s="3">
        <f t="shared" si="8"/>
        <v>0.1728110599078341</v>
      </c>
      <c r="I32" s="3">
        <f t="shared" si="8"/>
        <v>0.46184107002360347</v>
      </c>
      <c r="J32" s="3"/>
      <c r="K32" s="3">
        <f t="shared" si="8"/>
        <v>0.93005036373810857</v>
      </c>
      <c r="L32" s="3">
        <f t="shared" si="8"/>
        <v>0.56027164685908315</v>
      </c>
      <c r="M32" s="3">
        <f t="shared" si="8"/>
        <v>0.77806451612903227</v>
      </c>
      <c r="N32" s="3">
        <f t="shared" si="8"/>
        <v>0.28801843317972348</v>
      </c>
      <c r="O32" s="3">
        <f t="shared" si="8"/>
        <v>0.54614695340501795</v>
      </c>
      <c r="P32" s="3">
        <f t="shared" si="8"/>
        <v>0.2119815668202765</v>
      </c>
      <c r="Q32" s="3">
        <f t="shared" si="8"/>
        <v>0.44973544973544971</v>
      </c>
      <c r="R32" s="3">
        <f t="shared" si="8"/>
        <v>0.94568795260039495</v>
      </c>
      <c r="S32" s="3">
        <f t="shared" si="8"/>
        <v>4.0019403347077369E-2</v>
      </c>
      <c r="T32" s="3">
        <f t="shared" si="8"/>
        <v>0.22202848009299622</v>
      </c>
      <c r="U32" s="3">
        <f t="shared" si="8"/>
        <v>0.28996598639455784</v>
      </c>
      <c r="V32" s="3">
        <f t="shared" si="8"/>
        <v>0.35974754558204769</v>
      </c>
      <c r="W32" s="3">
        <f t="shared" si="8"/>
        <v>0.74967741935483867</v>
      </c>
      <c r="X32" s="3">
        <f t="shared" si="8"/>
        <v>0.29998609566184647</v>
      </c>
      <c r="Y32" s="3">
        <f t="shared" si="8"/>
        <v>0.44994438264738601</v>
      </c>
      <c r="Z32" s="3">
        <f t="shared" si="8"/>
        <v>0.5346774193548387</v>
      </c>
      <c r="AA32" s="3"/>
      <c r="AB32" s="3">
        <f t="shared" si="8"/>
        <v>0.44946236559139785</v>
      </c>
      <c r="AC32" s="3">
        <f>+AC31/AC30</f>
        <v>0.60555555555555551</v>
      </c>
      <c r="AD32" s="3">
        <f>+AD31/AD30</f>
        <v>0.90798653861938772</v>
      </c>
      <c r="AE32" s="3">
        <f>+AE31/AE30</f>
        <v>0.47146401985111663</v>
      </c>
      <c r="AF32" s="3">
        <f>+AF31/AF30</f>
        <v>0.77380175003264984</v>
      </c>
      <c r="AG32" s="3">
        <f>+AG31/AG30</f>
        <v>0.51102743410435714</v>
      </c>
      <c r="AH32" s="3">
        <f t="shared" ref="AH32:AQ32" si="9">+AH31/AH30</f>
        <v>0.48039215686274511</v>
      </c>
      <c r="AI32" s="3">
        <f t="shared" si="9"/>
        <v>0.76845878136200718</v>
      </c>
      <c r="AJ32" s="3">
        <f t="shared" si="9"/>
        <v>0.57400379506641364</v>
      </c>
      <c r="AK32" s="6">
        <f t="shared" si="9"/>
        <v>0.52618379027244866</v>
      </c>
      <c r="AL32" s="3">
        <f t="shared" si="9"/>
        <v>0.52098806923206187</v>
      </c>
      <c r="AM32" s="3">
        <f t="shared" si="9"/>
        <v>0.52626109956546385</v>
      </c>
      <c r="AN32" s="3">
        <f t="shared" si="9"/>
        <v>0.55055467511885892</v>
      </c>
      <c r="AO32" s="3">
        <f t="shared" si="9"/>
        <v>0.6553295932678822</v>
      </c>
      <c r="AP32" s="3">
        <f t="shared" si="9"/>
        <v>0.50930822932092235</v>
      </c>
      <c r="AQ32" s="3">
        <f t="shared" si="9"/>
        <v>0.36041055718475073</v>
      </c>
    </row>
    <row r="33" spans="1:48" x14ac:dyDescent="0.2">
      <c r="A33" s="20"/>
      <c r="B33" s="20">
        <v>1</v>
      </c>
      <c r="C33" s="20">
        <v>1</v>
      </c>
      <c r="D33" s="20">
        <v>1</v>
      </c>
      <c r="E33" s="20"/>
      <c r="F33" s="20">
        <v>1</v>
      </c>
      <c r="G33" s="20">
        <v>1</v>
      </c>
      <c r="H33" s="20">
        <v>1</v>
      </c>
      <c r="I33" s="20">
        <v>1</v>
      </c>
      <c r="J33" s="20"/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Z33" s="20">
        <v>1</v>
      </c>
      <c r="AA33" s="20"/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20">
        <v>1</v>
      </c>
      <c r="AJ33" s="20">
        <v>1</v>
      </c>
      <c r="AK33" s="59">
        <f>SUM(B33:AJ33)</f>
        <v>32</v>
      </c>
      <c r="AL33" s="20">
        <f>+AC33+S33+X33+AD33+AF33+U33+AI33</f>
        <v>7</v>
      </c>
      <c r="AM33" s="20">
        <f>+D33+I33+O33+R33+T33+Z33+E33+Y33+AG33+F33</f>
        <v>9</v>
      </c>
      <c r="AN33" s="20">
        <f>+B33+Q33+AE33+AJ33+AH33+L33+M33+W33+V33+AB33+N33+K33+H33+G33+J33+P33+C33</f>
        <v>16</v>
      </c>
      <c r="AO33" s="20">
        <f>+R33+W33+Z33+AJ33+O33+I33+F33</f>
        <v>7</v>
      </c>
      <c r="AP33" s="20">
        <f>+B33+D33+K33+L33+M33+Q33+S33+T33+X33+AC33+AD33+AE33+AF33+AH33+U33+E33+AI33+Y33+N33+G33+AG33</f>
        <v>20</v>
      </c>
      <c r="AQ33" s="20">
        <f>+AB33+V33+H33+J33+P33+C33</f>
        <v>5</v>
      </c>
    </row>
    <row r="34" spans="1:48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C34" s="20"/>
      <c r="AD34" s="20"/>
      <c r="AE34" s="20"/>
      <c r="AF34" s="20"/>
      <c r="AG34" s="20"/>
      <c r="AH34" s="20"/>
      <c r="AI34" s="20"/>
      <c r="AJ34" s="20"/>
      <c r="AK34" s="54"/>
      <c r="AL34" s="20"/>
      <c r="AM34" s="20"/>
      <c r="AN34" s="20"/>
      <c r="AO34" s="20"/>
      <c r="AP34" s="20"/>
      <c r="AQ34" s="20"/>
    </row>
    <row r="35" spans="1:48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1"/>
      <c r="AD35" s="1"/>
      <c r="AE35" s="1"/>
      <c r="AF35" s="1"/>
      <c r="AG35" s="1"/>
      <c r="AK35" s="5"/>
    </row>
    <row r="36" spans="1:48" x14ac:dyDescent="0.2">
      <c r="A36" t="s">
        <v>1</v>
      </c>
      <c r="B36" s="38">
        <v>540</v>
      </c>
      <c r="C36" s="38">
        <v>630</v>
      </c>
      <c r="D36" s="38">
        <v>1590</v>
      </c>
      <c r="E36" s="38"/>
      <c r="F36" s="38">
        <v>3270</v>
      </c>
      <c r="G36" s="38">
        <v>510</v>
      </c>
      <c r="H36" s="38">
        <v>420</v>
      </c>
      <c r="I36" s="38">
        <v>2460</v>
      </c>
      <c r="J36" s="38"/>
      <c r="K36" s="38">
        <v>1710</v>
      </c>
      <c r="L36" s="38">
        <v>1140</v>
      </c>
      <c r="M36" s="38">
        <v>750</v>
      </c>
      <c r="N36" s="38">
        <v>420</v>
      </c>
      <c r="O36" s="38">
        <v>2160</v>
      </c>
      <c r="P36" s="38">
        <v>420</v>
      </c>
      <c r="Q36" s="32"/>
      <c r="R36" s="38">
        <v>2940</v>
      </c>
      <c r="S36" s="38">
        <v>7980</v>
      </c>
      <c r="T36" s="38">
        <v>3330</v>
      </c>
      <c r="U36" s="38">
        <f>6300/2</f>
        <v>3150</v>
      </c>
      <c r="V36" s="38">
        <v>1380</v>
      </c>
      <c r="W36" s="38">
        <v>750</v>
      </c>
      <c r="X36" s="38">
        <v>13920</v>
      </c>
      <c r="Y36" s="38">
        <v>1740</v>
      </c>
      <c r="Z36" s="38">
        <v>1200</v>
      </c>
      <c r="AA36" s="38">
        <v>600</v>
      </c>
      <c r="AB36" s="38">
        <v>450</v>
      </c>
      <c r="AC36" s="38">
        <v>5400</v>
      </c>
      <c r="AD36" s="38">
        <v>11790</v>
      </c>
      <c r="AE36" s="38">
        <v>390</v>
      </c>
      <c r="AF36" s="38">
        <v>7410</v>
      </c>
      <c r="AG36" s="38">
        <v>1799</v>
      </c>
      <c r="AH36" s="38">
        <v>1500</v>
      </c>
      <c r="AI36" s="38">
        <v>5400</v>
      </c>
      <c r="AJ36" s="38">
        <v>1020</v>
      </c>
      <c r="AK36" s="60">
        <f>SUM(B36:AJ36)</f>
        <v>88169</v>
      </c>
      <c r="AL36">
        <f>+AC36+S36+X36+AD36+AF36+U36+AI36</f>
        <v>55050</v>
      </c>
      <c r="AM36" s="20">
        <f>+D36+I36+O36+R36+T36+Z36+E36+Y36+AG36+F36</f>
        <v>20489</v>
      </c>
      <c r="AN36">
        <f>+B36+Q36+AE36+AJ36+AH36+L36+M36+W36+V36+AB36+N36+K36+H36+G36+J36+P36+C36+AA36</f>
        <v>12630</v>
      </c>
      <c r="AO36">
        <f>+R36+W36+Z36+AJ36+O36+I36+F36</f>
        <v>13800</v>
      </c>
      <c r="AP36" s="20">
        <f>+B36+D36+K36+L36+M36+Q36+S36+T36+X36+AC36+AD36+AE36+AF36+AH36+U36+E36+AI36+Y36+N36+G36+AG36+AA36</f>
        <v>71069</v>
      </c>
      <c r="AQ36" s="20">
        <f>+AB36+V36+H36+J36+P36+C36</f>
        <v>3300</v>
      </c>
      <c r="AR36">
        <f>+AL36+AM36+AN36</f>
        <v>88169</v>
      </c>
      <c r="AS36">
        <f>+AO36+AP36+AQ36</f>
        <v>88169</v>
      </c>
    </row>
    <row r="37" spans="1:48" x14ac:dyDescent="0.2">
      <c r="A37" t="s">
        <v>2</v>
      </c>
      <c r="B37" s="38">
        <v>22</v>
      </c>
      <c r="C37" s="38">
        <v>211</v>
      </c>
      <c r="D37" s="38">
        <v>318</v>
      </c>
      <c r="E37" s="38"/>
      <c r="F37" s="38">
        <f>+F36*0.5</f>
        <v>1635</v>
      </c>
      <c r="G37" s="38">
        <v>373</v>
      </c>
      <c r="H37" s="38">
        <v>47</v>
      </c>
      <c r="I37" s="38">
        <v>593</v>
      </c>
      <c r="J37" s="38"/>
      <c r="K37" s="38">
        <v>1590</v>
      </c>
      <c r="L37" s="38">
        <v>568</v>
      </c>
      <c r="M37" s="38">
        <v>503</v>
      </c>
      <c r="N37" s="38">
        <v>30</v>
      </c>
      <c r="O37" s="38">
        <v>659</v>
      </c>
      <c r="P37" s="38">
        <v>99</v>
      </c>
      <c r="Q37" s="38"/>
      <c r="R37" s="38">
        <v>2533</v>
      </c>
      <c r="S37" s="38">
        <v>583</v>
      </c>
      <c r="T37" s="38">
        <v>726</v>
      </c>
      <c r="U37" s="38">
        <v>718</v>
      </c>
      <c r="V37" s="38">
        <v>580</v>
      </c>
      <c r="W37" s="38">
        <v>653</v>
      </c>
      <c r="X37" s="38">
        <f>+X36*0.3</f>
        <v>4176</v>
      </c>
      <c r="Y37" s="38">
        <v>713</v>
      </c>
      <c r="Z37" s="38">
        <v>874</v>
      </c>
      <c r="AA37" s="38">
        <f>+AA36*0.7</f>
        <v>420</v>
      </c>
      <c r="AB37" s="38">
        <f>+AB36*0.4</f>
        <v>180</v>
      </c>
      <c r="AC37" s="38">
        <v>2628</v>
      </c>
      <c r="AD37" s="38">
        <v>10585</v>
      </c>
      <c r="AE37" s="38">
        <v>224</v>
      </c>
      <c r="AF37" s="38">
        <v>5107</v>
      </c>
      <c r="AG37" s="38">
        <v>738</v>
      </c>
      <c r="AH37" s="38">
        <v>903</v>
      </c>
      <c r="AI37" s="38">
        <v>4595</v>
      </c>
      <c r="AJ37" s="38">
        <v>550</v>
      </c>
      <c r="AK37" s="60">
        <f>SUM(B37:AJ37)</f>
        <v>44134</v>
      </c>
      <c r="AL37">
        <f>+AC37+S37+X37+AD37+AF37+U37+AI37</f>
        <v>28392</v>
      </c>
      <c r="AM37" s="48">
        <f>+D37+I37+O37+R37+T37+Z37+E37+Y37+AG37+F37</f>
        <v>8789</v>
      </c>
      <c r="AN37">
        <f>+B37+Q37+AE37+AJ37+AH37+L37+M37+W37+V37+AB37+N37+K37+H37+G37+J37+P37+C37+AA37</f>
        <v>6953</v>
      </c>
      <c r="AO37">
        <f>+R37+W37+Z37+AJ37+O37+I37+F37</f>
        <v>7497</v>
      </c>
      <c r="AP37" s="20">
        <f>+B37+D37+K37+L37+M37+Q37+S37+T37+X37+AC37+AD37+AE37+AF37+AH37+U37+E37+AI37+Y37+N37+G37+AG37+AA37</f>
        <v>35520</v>
      </c>
      <c r="AQ37" s="20">
        <f>+AB37+V37+H37+J37+P37+C37</f>
        <v>1117</v>
      </c>
      <c r="AR37">
        <f>+AL37+AM37+AN37</f>
        <v>44134</v>
      </c>
      <c r="AS37">
        <f>+AL37+AM37+AN37</f>
        <v>44134</v>
      </c>
    </row>
    <row r="38" spans="1:48" x14ac:dyDescent="0.2">
      <c r="A38" t="s">
        <v>4</v>
      </c>
      <c r="B38" s="3">
        <f>+B37/B36</f>
        <v>4.0740740740740744E-2</v>
      </c>
      <c r="C38" s="3">
        <f>+C37/C36</f>
        <v>0.3349206349206349</v>
      </c>
      <c r="D38" s="3">
        <f>+D37/D36</f>
        <v>0.2</v>
      </c>
      <c r="E38" s="3"/>
      <c r="F38" s="3">
        <f t="shared" ref="F38:P38" si="10">+F37/F36</f>
        <v>0.5</v>
      </c>
      <c r="G38" s="3">
        <f t="shared" si="10"/>
        <v>0.7313725490196078</v>
      </c>
      <c r="H38" s="3">
        <f t="shared" si="10"/>
        <v>0.11190476190476191</v>
      </c>
      <c r="I38" s="3">
        <f t="shared" si="10"/>
        <v>0.24105691056910569</v>
      </c>
      <c r="J38" s="3"/>
      <c r="K38" s="3">
        <f t="shared" si="10"/>
        <v>0.92982456140350878</v>
      </c>
      <c r="L38" s="3">
        <f t="shared" si="10"/>
        <v>0.49824561403508771</v>
      </c>
      <c r="M38" s="3">
        <f t="shared" si="10"/>
        <v>0.67066666666666663</v>
      </c>
      <c r="N38" s="3">
        <f t="shared" si="10"/>
        <v>7.1428571428571425E-2</v>
      </c>
      <c r="O38" s="3">
        <f t="shared" si="10"/>
        <v>0.30509259259259258</v>
      </c>
      <c r="P38" s="3">
        <f t="shared" si="10"/>
        <v>0.23571428571428571</v>
      </c>
      <c r="Q38" s="3">
        <v>0</v>
      </c>
      <c r="R38" s="3">
        <f t="shared" ref="R38:AB38" si="11">+R37/R36</f>
        <v>0.8615646258503401</v>
      </c>
      <c r="S38" s="3">
        <f t="shared" si="11"/>
        <v>7.3057644110275682E-2</v>
      </c>
      <c r="T38" s="3">
        <f t="shared" si="11"/>
        <v>0.21801801801801801</v>
      </c>
      <c r="U38" s="3">
        <f t="shared" si="11"/>
        <v>0.22793650793650794</v>
      </c>
      <c r="V38" s="3">
        <f t="shared" si="11"/>
        <v>0.42028985507246375</v>
      </c>
      <c r="W38" s="3">
        <f t="shared" si="11"/>
        <v>0.8706666666666667</v>
      </c>
      <c r="X38" s="3">
        <f t="shared" si="11"/>
        <v>0.3</v>
      </c>
      <c r="Y38" s="3">
        <f t="shared" si="11"/>
        <v>0.40977011494252874</v>
      </c>
      <c r="Z38" s="3">
        <f t="shared" si="11"/>
        <v>0.72833333333333339</v>
      </c>
      <c r="AA38" s="3">
        <f t="shared" si="11"/>
        <v>0.7</v>
      </c>
      <c r="AB38" s="3">
        <f t="shared" si="11"/>
        <v>0.4</v>
      </c>
      <c r="AC38" s="3">
        <f t="shared" ref="AC38:AQ38" si="12">+AC37/AC36</f>
        <v>0.48666666666666669</v>
      </c>
      <c r="AD38" s="3">
        <f t="shared" si="12"/>
        <v>0.89779474130619163</v>
      </c>
      <c r="AE38" s="3">
        <f t="shared" si="12"/>
        <v>0.57435897435897432</v>
      </c>
      <c r="AF38" s="3">
        <f t="shared" si="12"/>
        <v>0.68920377867746285</v>
      </c>
      <c r="AG38" s="3">
        <f t="shared" si="12"/>
        <v>0.4102279043913285</v>
      </c>
      <c r="AH38" s="3">
        <f t="shared" si="12"/>
        <v>0.60199999999999998</v>
      </c>
      <c r="AI38" s="3">
        <f t="shared" si="12"/>
        <v>0.85092592592592597</v>
      </c>
      <c r="AJ38" s="3">
        <f t="shared" si="12"/>
        <v>0.53921568627450978</v>
      </c>
      <c r="AK38" s="6">
        <f t="shared" si="12"/>
        <v>0.50056142181492358</v>
      </c>
      <c r="AL38" s="3">
        <f t="shared" si="12"/>
        <v>0.51574931880108987</v>
      </c>
      <c r="AM38" s="3">
        <f t="shared" si="12"/>
        <v>0.4289618819854556</v>
      </c>
      <c r="AN38" s="3">
        <f t="shared" si="12"/>
        <v>0.55051464766429137</v>
      </c>
      <c r="AO38" s="3">
        <f t="shared" si="12"/>
        <v>0.54326086956521735</v>
      </c>
      <c r="AP38" s="3">
        <f t="shared" si="12"/>
        <v>0.49979597292771816</v>
      </c>
      <c r="AQ38" s="3">
        <f t="shared" si="12"/>
        <v>0.3384848484848485</v>
      </c>
    </row>
    <row r="39" spans="1:48" x14ac:dyDescent="0.2">
      <c r="A39" s="20"/>
      <c r="B39" s="20">
        <v>1</v>
      </c>
      <c r="C39" s="20">
        <v>1</v>
      </c>
      <c r="D39" s="20">
        <v>1</v>
      </c>
      <c r="E39" s="20"/>
      <c r="F39" s="20">
        <v>1</v>
      </c>
      <c r="G39" s="20">
        <v>1</v>
      </c>
      <c r="H39" s="20">
        <v>1</v>
      </c>
      <c r="I39" s="20">
        <v>1</v>
      </c>
      <c r="J39" s="20"/>
      <c r="K39" s="20">
        <v>1</v>
      </c>
      <c r="L39" s="20">
        <v>1</v>
      </c>
      <c r="M39" s="20">
        <v>1</v>
      </c>
      <c r="N39" s="20">
        <v>1</v>
      </c>
      <c r="O39" s="20">
        <v>1</v>
      </c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20">
        <v>1</v>
      </c>
      <c r="AJ39" s="20">
        <v>1</v>
      </c>
      <c r="AK39" s="60">
        <f>SUM(B39:AJ39)</f>
        <v>32</v>
      </c>
      <c r="AL39" s="20">
        <f>+AC39+S39+X39+AD39+AF39+U39+AI39</f>
        <v>7</v>
      </c>
      <c r="AM39" s="20">
        <f>+D39+I39+O39+R39+T39+Z39+E39+Y39+AG39+F39</f>
        <v>9</v>
      </c>
      <c r="AN39">
        <f>+B39+Q39+AE39+AJ39+AH39+L39+M39+W39+V39+AB39+N39+K39+H39+G39+J39+P39+C39+AA39</f>
        <v>16</v>
      </c>
      <c r="AO39" s="20">
        <f>+R39+W39+Z39+AJ39+O39+I39+F39</f>
        <v>7</v>
      </c>
      <c r="AP39" s="20">
        <f>+B39+D39+K39+L39+M39+Q39+S39+T39+X39+AC39+AD39+AE39+AF39+AH39+U39+E39+AI39+Y39+N39+G39+AG39+AA39</f>
        <v>20</v>
      </c>
      <c r="AQ39" s="20">
        <f>+AB39+V39+H39+J39+P39+C39</f>
        <v>5</v>
      </c>
    </row>
    <row r="40" spans="1:48" x14ac:dyDescent="0.2">
      <c r="I40" s="5"/>
      <c r="J40" s="5"/>
    </row>
    <row r="41" spans="1:48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1"/>
      <c r="AC41" s="1"/>
      <c r="AD41" s="1"/>
      <c r="AE41" s="1"/>
      <c r="AF41" s="1"/>
      <c r="AG41" s="1"/>
      <c r="AH41" s="1"/>
      <c r="AK41" s="5"/>
    </row>
    <row r="42" spans="1:48" x14ac:dyDescent="0.2">
      <c r="A42" t="s">
        <v>1</v>
      </c>
      <c r="B42" s="38">
        <v>0</v>
      </c>
      <c r="C42" s="38">
        <v>651</v>
      </c>
      <c r="D42" s="38">
        <v>1643</v>
      </c>
      <c r="E42" s="38"/>
      <c r="F42" s="38">
        <v>3379</v>
      </c>
      <c r="G42" s="38">
        <v>527</v>
      </c>
      <c r="H42" s="38">
        <v>434</v>
      </c>
      <c r="I42" s="38">
        <v>2542</v>
      </c>
      <c r="J42" s="38"/>
      <c r="K42" s="38">
        <v>1787</v>
      </c>
      <c r="L42" s="38">
        <v>1178</v>
      </c>
      <c r="M42" s="38">
        <v>837</v>
      </c>
      <c r="N42" s="38">
        <v>434</v>
      </c>
      <c r="O42" s="38">
        <v>2232</v>
      </c>
      <c r="P42" s="38">
        <v>434</v>
      </c>
      <c r="Q42" s="38">
        <v>0</v>
      </c>
      <c r="R42" s="38">
        <v>3038</v>
      </c>
      <c r="S42" s="38">
        <v>8246</v>
      </c>
      <c r="T42" s="38">
        <v>3441</v>
      </c>
      <c r="U42" s="38">
        <v>0</v>
      </c>
      <c r="V42" s="38">
        <v>1426</v>
      </c>
      <c r="W42" s="38">
        <v>775</v>
      </c>
      <c r="X42" s="38">
        <v>14384</v>
      </c>
      <c r="Y42" s="38">
        <v>1798</v>
      </c>
      <c r="Z42" s="38">
        <v>1240</v>
      </c>
      <c r="AA42" s="38">
        <v>620</v>
      </c>
      <c r="AB42" s="38">
        <v>465</v>
      </c>
      <c r="AC42" s="38">
        <v>5580</v>
      </c>
      <c r="AD42" s="38">
        <v>12183</v>
      </c>
      <c r="AE42" s="38">
        <v>403</v>
      </c>
      <c r="AF42" s="38">
        <v>7657</v>
      </c>
      <c r="AG42" s="38">
        <v>1859</v>
      </c>
      <c r="AH42" s="38">
        <v>1581</v>
      </c>
      <c r="AI42" s="38">
        <v>5580</v>
      </c>
      <c r="AJ42" s="38">
        <v>1054</v>
      </c>
      <c r="AK42" s="62">
        <f>SUM(B42:AJ42)</f>
        <v>87408</v>
      </c>
      <c r="AL42">
        <f>+AC42+S42+X42+AD42+AF42+U42+AI42</f>
        <v>53630</v>
      </c>
      <c r="AM42" s="20">
        <f>+D42+I42+O42+R42+T42+Z42+E42+Y42+AG42+F42</f>
        <v>21172</v>
      </c>
      <c r="AN42">
        <f>+B42+Q42+AE42+AJ42+AH42+L42+M42+W42+V42+AB42+N42+K42+H42+G42+J42+P42+C42+AA42</f>
        <v>12606</v>
      </c>
      <c r="AO42">
        <f>+R42+W42+Z42+AJ42+O42+I42+F42</f>
        <v>14260</v>
      </c>
      <c r="AP42" s="20">
        <f>+B42+D42+K42+L42+M42+Q42+S42+T42+X42+AC42+AD42+AE42+AF42+AH42+U42+E42+AI42+Y42+N42+G42+AG42+AA42</f>
        <v>69738</v>
      </c>
      <c r="AQ42" s="20">
        <f>+AB42+V42+H42+J42+P42+C42</f>
        <v>3410</v>
      </c>
      <c r="AR42">
        <f>+AL42+AM42+AN42</f>
        <v>87408</v>
      </c>
      <c r="AS42">
        <f>+AO42+AP42+AQ42</f>
        <v>87408</v>
      </c>
      <c r="AV42">
        <f>+AK42+AK36+AK30+AK24+AV20+AK48+AK54</f>
        <v>795922</v>
      </c>
    </row>
    <row r="43" spans="1:48" x14ac:dyDescent="0.2">
      <c r="A43" t="s">
        <v>2</v>
      </c>
      <c r="B43" s="47"/>
      <c r="C43" s="47">
        <v>212</v>
      </c>
      <c r="D43" s="47">
        <v>444</v>
      </c>
      <c r="E43" s="47"/>
      <c r="F43" s="47">
        <v>1994</v>
      </c>
      <c r="G43" s="47">
        <v>370</v>
      </c>
      <c r="H43" s="47">
        <v>124</v>
      </c>
      <c r="I43" s="47">
        <v>986</v>
      </c>
      <c r="J43" s="47"/>
      <c r="K43" s="47">
        <v>1715</v>
      </c>
      <c r="L43" s="47">
        <v>750</v>
      </c>
      <c r="M43" s="47">
        <v>586</v>
      </c>
      <c r="N43" s="47">
        <v>31</v>
      </c>
      <c r="O43" s="47">
        <v>904</v>
      </c>
      <c r="P43" s="47">
        <v>173</v>
      </c>
      <c r="Q43" s="47">
        <v>0</v>
      </c>
      <c r="R43" s="47">
        <v>2754</v>
      </c>
      <c r="S43" s="47">
        <v>1262</v>
      </c>
      <c r="T43" s="47">
        <v>936</v>
      </c>
      <c r="U43" s="47">
        <v>0</v>
      </c>
      <c r="V43" s="47">
        <v>827</v>
      </c>
      <c r="W43" s="47">
        <v>574</v>
      </c>
      <c r="X43" s="47">
        <v>4075</v>
      </c>
      <c r="Y43" s="47">
        <v>989</v>
      </c>
      <c r="Z43" s="47">
        <v>911</v>
      </c>
      <c r="AA43" s="47">
        <v>306</v>
      </c>
      <c r="AB43" s="47">
        <v>135</v>
      </c>
      <c r="AC43" s="47">
        <v>2823</v>
      </c>
      <c r="AD43" s="38">
        <v>10157</v>
      </c>
      <c r="AE43" s="38">
        <v>185</v>
      </c>
      <c r="AF43" s="47">
        <v>5828</v>
      </c>
      <c r="AG43" s="47">
        <v>818</v>
      </c>
      <c r="AH43" s="38">
        <v>1107</v>
      </c>
      <c r="AI43" s="47">
        <v>5032</v>
      </c>
      <c r="AJ43" s="47">
        <v>431</v>
      </c>
      <c r="AK43" s="62">
        <f>SUM(B43:AJ43)</f>
        <v>47439</v>
      </c>
      <c r="AL43">
        <f>+AC43+S43+X43+AD43+AF43+U43+AI43</f>
        <v>29177</v>
      </c>
      <c r="AM43" s="48">
        <f>+D43+I43+O43+R43+T43+Z43+E43+Y43+AG43+F43</f>
        <v>10736</v>
      </c>
      <c r="AN43">
        <f>+B43+Q43+AE43+AJ43+AH43+L43+M43+W43+V43+AB43+N43+K43+H43+G43+J43+P43+C43+AA43</f>
        <v>7526</v>
      </c>
      <c r="AO43">
        <f>+R43+W43+Z43+AJ43+O43+I43+F43</f>
        <v>8554</v>
      </c>
      <c r="AP43" s="20">
        <f>+B43+D43+K43+L43+M43+Q43+S43+T43+X43+AC43+AD43+AE43+AF43+AH43+U43+E43+AI43+Y43+N43+G43+AG43+AA43</f>
        <v>37414</v>
      </c>
      <c r="AQ43" s="20">
        <f>+AB43+V43+H43+J43+P43+C43</f>
        <v>1471</v>
      </c>
      <c r="AR43">
        <f>+AL43+AM43+AN43</f>
        <v>47439</v>
      </c>
      <c r="AS43">
        <f>+AL43+AM43+AN43</f>
        <v>47439</v>
      </c>
      <c r="AV43">
        <f>+AK43+AK37+AK31+AK25+AV21+AK49+AK55</f>
        <v>471316.32500000001</v>
      </c>
    </row>
    <row r="44" spans="1:48" x14ac:dyDescent="0.2">
      <c r="A44" t="s">
        <v>4</v>
      </c>
      <c r="B44" s="3">
        <v>0</v>
      </c>
      <c r="C44" s="3">
        <f>+C43/C42</f>
        <v>0.32565284178187404</v>
      </c>
      <c r="D44" s="3">
        <f>+D43/D42</f>
        <v>0.27023737066342057</v>
      </c>
      <c r="E44" s="3"/>
      <c r="F44" s="3">
        <f t="shared" ref="F44:N44" si="13">+F43/F42</f>
        <v>0.5901154187629476</v>
      </c>
      <c r="G44" s="3">
        <f t="shared" si="13"/>
        <v>0.70208728652751418</v>
      </c>
      <c r="H44" s="3">
        <f t="shared" si="13"/>
        <v>0.2857142857142857</v>
      </c>
      <c r="I44" s="3">
        <f t="shared" si="13"/>
        <v>0.38788355625491738</v>
      </c>
      <c r="J44" s="3"/>
      <c r="K44" s="3">
        <f t="shared" si="13"/>
        <v>0.95970900951315052</v>
      </c>
      <c r="L44" s="3">
        <f t="shared" si="13"/>
        <v>0.63667232597623091</v>
      </c>
      <c r="M44" s="3">
        <f t="shared" si="13"/>
        <v>0.70011947431302268</v>
      </c>
      <c r="N44" s="3">
        <f t="shared" si="13"/>
        <v>7.1428571428571425E-2</v>
      </c>
      <c r="O44" s="3">
        <f>+O43/O42</f>
        <v>0.4050179211469534</v>
      </c>
      <c r="P44" s="3">
        <f>+P43/P42</f>
        <v>0.39861751152073732</v>
      </c>
      <c r="Q44" s="3">
        <v>0</v>
      </c>
      <c r="R44" s="3">
        <f t="shared" ref="R44:X44" si="14">+R43/R42</f>
        <v>0.90651744568795256</v>
      </c>
      <c r="S44" s="3">
        <f t="shared" si="14"/>
        <v>0.15304390007276256</v>
      </c>
      <c r="T44" s="3">
        <f t="shared" si="14"/>
        <v>0.27201394943330426</v>
      </c>
      <c r="U44" s="3">
        <v>0</v>
      </c>
      <c r="V44" s="3">
        <f t="shared" si="14"/>
        <v>0.57994389901823284</v>
      </c>
      <c r="W44" s="3">
        <f t="shared" si="14"/>
        <v>0.74064516129032254</v>
      </c>
      <c r="X44" s="3">
        <f t="shared" si="14"/>
        <v>0.28330088987764185</v>
      </c>
      <c r="Y44" s="3">
        <f>+Y43/Y42</f>
        <v>0.55005561735261399</v>
      </c>
      <c r="Z44" s="3">
        <f>+Z43/Z42</f>
        <v>0.73467741935483866</v>
      </c>
      <c r="AA44" s="3">
        <f t="shared" ref="AA44:AG44" si="15">+AA43/AA42</f>
        <v>0.49354838709677418</v>
      </c>
      <c r="AB44" s="3">
        <f t="shared" si="15"/>
        <v>0.29032258064516131</v>
      </c>
      <c r="AC44" s="3">
        <f t="shared" si="15"/>
        <v>0.50591397849462361</v>
      </c>
      <c r="AD44" s="3">
        <f t="shared" si="15"/>
        <v>0.83370270048428141</v>
      </c>
      <c r="AE44" s="3">
        <f t="shared" si="15"/>
        <v>0.45905707196029777</v>
      </c>
      <c r="AF44" s="3">
        <f t="shared" si="15"/>
        <v>0.76113360323886636</v>
      </c>
      <c r="AG44" s="3">
        <f t="shared" si="15"/>
        <v>0.44002151694459385</v>
      </c>
      <c r="AH44" s="3">
        <f t="shared" ref="AH44:AQ44" si="16">+AH43/AH42</f>
        <v>0.70018975332068312</v>
      </c>
      <c r="AI44" s="3">
        <f t="shared" si="16"/>
        <v>0.90179211469534049</v>
      </c>
      <c r="AJ44" s="3">
        <f t="shared" si="16"/>
        <v>0.40891840607210628</v>
      </c>
      <c r="AK44" s="6">
        <f t="shared" si="16"/>
        <v>0.54273064250411862</v>
      </c>
      <c r="AL44" s="3">
        <f t="shared" si="16"/>
        <v>0.54404251351855304</v>
      </c>
      <c r="AM44" s="3">
        <f t="shared" si="16"/>
        <v>0.50708482901945962</v>
      </c>
      <c r="AN44" s="3">
        <f t="shared" si="16"/>
        <v>0.59701729335237186</v>
      </c>
      <c r="AO44" s="3">
        <f t="shared" si="16"/>
        <v>0.59985974754558202</v>
      </c>
      <c r="AP44" s="3">
        <f t="shared" si="16"/>
        <v>0.53649373368895004</v>
      </c>
      <c r="AQ44" s="3">
        <f t="shared" si="16"/>
        <v>0.43137829912023462</v>
      </c>
      <c r="AV44">
        <f>+AV43/AV42</f>
        <v>0.59216396204653221</v>
      </c>
    </row>
    <row r="45" spans="1:48" x14ac:dyDescent="0.2">
      <c r="A45" s="20"/>
      <c r="B45" s="38"/>
      <c r="C45" s="38">
        <v>1</v>
      </c>
      <c r="D45" s="39">
        <v>1</v>
      </c>
      <c r="E45" s="39"/>
      <c r="F45" s="39">
        <v>1</v>
      </c>
      <c r="G45" s="39">
        <v>1</v>
      </c>
      <c r="H45" s="39">
        <v>1</v>
      </c>
      <c r="I45" s="39">
        <v>1</v>
      </c>
      <c r="J45" s="39"/>
      <c r="K45" s="39">
        <v>1</v>
      </c>
      <c r="L45" s="39">
        <v>1</v>
      </c>
      <c r="M45" s="39">
        <v>1</v>
      </c>
      <c r="N45" s="39">
        <v>1</v>
      </c>
      <c r="O45" s="39">
        <v>1</v>
      </c>
      <c r="P45" s="39">
        <v>1</v>
      </c>
      <c r="Q45" s="39"/>
      <c r="R45" s="39">
        <v>1</v>
      </c>
      <c r="S45" s="39">
        <v>1</v>
      </c>
      <c r="T45" s="39">
        <v>1</v>
      </c>
      <c r="U45" s="39"/>
      <c r="V45" s="39">
        <v>1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39">
        <v>1</v>
      </c>
      <c r="AJ45" s="39">
        <v>1</v>
      </c>
      <c r="AK45" s="62">
        <f>SUM(B45:AJ45)</f>
        <v>30</v>
      </c>
      <c r="AL45" s="20">
        <f>+AC45+S45+X45+AD45+AF45+U45+AI45</f>
        <v>6</v>
      </c>
      <c r="AM45" s="20">
        <f>+D45+I45+O45+R45+T45+Z45+E45+Y45+AG45+F45</f>
        <v>9</v>
      </c>
      <c r="AN45">
        <f>+B45+Q45+AE45+AJ45+AH45+L45+M45+W45+V45+AB45+N45+K45+H45+G45+J45+P45+C45+AA45</f>
        <v>15</v>
      </c>
      <c r="AO45" s="20">
        <f>+R45+W45+Z45+AJ45+O45+I45+F45</f>
        <v>7</v>
      </c>
      <c r="AP45" s="20">
        <f>+B45+D45+K45+L45+M45+Q45+S45+T45+X45+AC45+AD45+AE45+AF45+AH45+U45+E45+AI45+Y45+N45+G45+AG45+AA45</f>
        <v>18</v>
      </c>
      <c r="AQ45" s="20">
        <f>+AB45+V45+H45+J45+P45+C45</f>
        <v>5</v>
      </c>
    </row>
    <row r="46" spans="1:48" x14ac:dyDescent="0.2">
      <c r="I46" s="40"/>
      <c r="J46" s="40"/>
      <c r="AG46" t="s">
        <v>15</v>
      </c>
    </row>
    <row r="47" spans="1:48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1"/>
      <c r="AC47" s="1"/>
      <c r="AD47" s="1"/>
      <c r="AE47" s="1"/>
      <c r="AF47" s="1"/>
      <c r="AG47" s="1"/>
      <c r="AK47" s="5"/>
    </row>
    <row r="48" spans="1:48" x14ac:dyDescent="0.2">
      <c r="A48" t="s">
        <v>1</v>
      </c>
      <c r="B48" s="38">
        <v>0</v>
      </c>
      <c r="C48" s="38">
        <v>651</v>
      </c>
      <c r="D48" s="38">
        <v>1643</v>
      </c>
      <c r="E48" s="38"/>
      <c r="F48" s="38">
        <v>3379</v>
      </c>
      <c r="G48" s="38">
        <v>527</v>
      </c>
      <c r="H48" s="38">
        <v>434</v>
      </c>
      <c r="I48" s="38">
        <v>2542</v>
      </c>
      <c r="J48" s="38"/>
      <c r="K48" s="38">
        <v>1787</v>
      </c>
      <c r="L48" s="38">
        <v>1178</v>
      </c>
      <c r="M48" s="38">
        <v>837</v>
      </c>
      <c r="N48" s="38"/>
      <c r="O48" s="38">
        <f>2232/31*22</f>
        <v>1584</v>
      </c>
      <c r="P48" s="38">
        <v>434</v>
      </c>
      <c r="Q48" s="38"/>
      <c r="R48" s="38">
        <v>2852</v>
      </c>
      <c r="S48" s="38">
        <v>8246</v>
      </c>
      <c r="T48" s="38">
        <v>3441</v>
      </c>
      <c r="U48" s="38">
        <v>0</v>
      </c>
      <c r="V48" s="38">
        <v>1426</v>
      </c>
      <c r="W48" s="38">
        <v>775</v>
      </c>
      <c r="X48" s="38">
        <v>14384</v>
      </c>
      <c r="Y48" s="38">
        <v>1798</v>
      </c>
      <c r="Z48" s="38">
        <v>1240</v>
      </c>
      <c r="AA48" s="38">
        <v>620</v>
      </c>
      <c r="AB48" s="38">
        <v>465</v>
      </c>
      <c r="AC48" s="38">
        <v>5580</v>
      </c>
      <c r="AD48" s="38">
        <v>12183</v>
      </c>
      <c r="AE48" s="38">
        <v>403</v>
      </c>
      <c r="AF48" s="38">
        <v>7657</v>
      </c>
      <c r="AG48" s="38">
        <v>1859</v>
      </c>
      <c r="AH48" s="38">
        <v>1550</v>
      </c>
      <c r="AI48" s="38">
        <v>5580</v>
      </c>
      <c r="AJ48" s="38">
        <v>1054</v>
      </c>
      <c r="AK48" s="63">
        <f>SUM(B48:AJ48)</f>
        <v>86109</v>
      </c>
      <c r="AL48">
        <f>+AC48+S48+X48+AD48+AF48+U48+AI48</f>
        <v>53630</v>
      </c>
      <c r="AM48" s="20">
        <f>+D48+I48+O48+R48+T48+Z48+E48+Y48+AG48+F48</f>
        <v>20338</v>
      </c>
      <c r="AN48">
        <f>+B48+Q48+AE48+AJ48+AH48+L48+M48+W48+V48+AB48+N48+K48+H48+G48+J48+P48+C48+AA48</f>
        <v>12141</v>
      </c>
      <c r="AO48">
        <f>+R48+W48+Z48+AJ48+O48+I48+F48</f>
        <v>13426</v>
      </c>
      <c r="AP48" s="20">
        <f>+B48+D48+K48+L48+M48+Q48+S48+T48+X48+AC48+AD48+AE48+AF48+AH48+U48+E48+AI48+Y48+N48+G48+AG48+AA48</f>
        <v>69273</v>
      </c>
      <c r="AQ48" s="20">
        <f>+AB48+V48+H48+J48+P48+C48</f>
        <v>3410</v>
      </c>
      <c r="AR48">
        <f>+AL48+AM48+AN48</f>
        <v>86109</v>
      </c>
      <c r="AS48">
        <f>+AL48+AM48+AN48</f>
        <v>86109</v>
      </c>
    </row>
    <row r="49" spans="1:45" x14ac:dyDescent="0.2">
      <c r="A49" t="s">
        <v>2</v>
      </c>
      <c r="B49" s="38"/>
      <c r="C49" s="38">
        <v>339</v>
      </c>
      <c r="D49" s="38">
        <v>509</v>
      </c>
      <c r="E49" s="38"/>
      <c r="F49" s="38">
        <v>1554</v>
      </c>
      <c r="G49" s="38">
        <v>456</v>
      </c>
      <c r="H49" s="38">
        <v>121</v>
      </c>
      <c r="I49" s="38">
        <v>1106</v>
      </c>
      <c r="J49" s="38"/>
      <c r="K49" s="45">
        <v>1590</v>
      </c>
      <c r="L49" s="38">
        <v>798</v>
      </c>
      <c r="M49" s="38">
        <v>460</v>
      </c>
      <c r="N49" s="38"/>
      <c r="O49" s="38">
        <v>428</v>
      </c>
      <c r="P49" s="38">
        <v>256</v>
      </c>
      <c r="Q49" s="38"/>
      <c r="R49" s="38">
        <v>2414</v>
      </c>
      <c r="S49" s="38">
        <v>1047</v>
      </c>
      <c r="T49" s="38">
        <v>661</v>
      </c>
      <c r="U49" s="38">
        <v>0</v>
      </c>
      <c r="V49" s="38">
        <v>799</v>
      </c>
      <c r="W49" s="38">
        <f>+W48*0.8</f>
        <v>620</v>
      </c>
      <c r="X49" s="38">
        <v>5026</v>
      </c>
      <c r="Y49" s="38">
        <v>1025</v>
      </c>
      <c r="Z49" s="38">
        <v>879</v>
      </c>
      <c r="AA49" s="38">
        <v>316</v>
      </c>
      <c r="AB49" s="38">
        <v>196</v>
      </c>
      <c r="AC49" s="38">
        <v>2616</v>
      </c>
      <c r="AD49" s="38">
        <v>8284</v>
      </c>
      <c r="AE49" s="38">
        <v>271</v>
      </c>
      <c r="AF49" s="38">
        <v>5450</v>
      </c>
      <c r="AG49" s="38">
        <v>941</v>
      </c>
      <c r="AH49" s="38">
        <v>707</v>
      </c>
      <c r="AI49" s="38">
        <v>4529</v>
      </c>
      <c r="AJ49" s="38">
        <v>452</v>
      </c>
      <c r="AK49" s="63">
        <f>SUM(B49:AJ49)</f>
        <v>43850</v>
      </c>
      <c r="AL49">
        <f>+AC49+S49+X49+AD49+AF49+U49+AI49</f>
        <v>26952</v>
      </c>
      <c r="AM49" s="48">
        <f>+D49+I49+O49+R49+T49+Z49+E49+Y49+AG49+F49</f>
        <v>9517</v>
      </c>
      <c r="AN49">
        <f>+B49+Q49+AE49+AJ49+AH49+L49+M49+W49+V49+AB49+N49+K49+H49+G49+J49+P49+C49+AA49</f>
        <v>7381</v>
      </c>
      <c r="AO49">
        <f>+R49+W49+Z49+AJ49+O49+I49+F49</f>
        <v>7453</v>
      </c>
      <c r="AP49" s="20">
        <f>+B49+D49+K49+L49+M49+Q49+S49+T49+X49+AC49+AD49+AE49+AF49+AH49+U49+E49+AI49+Y49+N49+G49+AG49+AA49</f>
        <v>34686</v>
      </c>
      <c r="AQ49" s="20">
        <f>+AB49+V49+H49+J49+P49+C49</f>
        <v>1711</v>
      </c>
      <c r="AR49">
        <f>+AL49+AM49+AN49</f>
        <v>43850</v>
      </c>
      <c r="AS49">
        <f>+AL49+AM49+AN49</f>
        <v>43850</v>
      </c>
    </row>
    <row r="50" spans="1:45" x14ac:dyDescent="0.2">
      <c r="A50" t="s">
        <v>4</v>
      </c>
      <c r="B50" s="3">
        <v>0</v>
      </c>
      <c r="C50" s="3">
        <f>+C49/C48</f>
        <v>0.52073732718894006</v>
      </c>
      <c r="D50" s="3">
        <f>+D49/D48</f>
        <v>0.30979914790018259</v>
      </c>
      <c r="E50" s="3"/>
      <c r="F50" s="3">
        <f t="shared" ref="F50:M50" si="17">+F49/F48</f>
        <v>0.45989937851435336</v>
      </c>
      <c r="G50" s="3">
        <f t="shared" si="17"/>
        <v>0.86527514231499048</v>
      </c>
      <c r="H50" s="3">
        <f t="shared" si="17"/>
        <v>0.27880184331797236</v>
      </c>
      <c r="I50" s="3">
        <f t="shared" si="17"/>
        <v>0.43509047993705746</v>
      </c>
      <c r="J50" s="3"/>
      <c r="K50" s="3">
        <f t="shared" si="17"/>
        <v>0.88975937325125909</v>
      </c>
      <c r="L50" s="3">
        <f t="shared" si="17"/>
        <v>0.67741935483870963</v>
      </c>
      <c r="M50" s="3">
        <f t="shared" si="17"/>
        <v>0.54958183990442055</v>
      </c>
      <c r="N50" s="3">
        <v>0</v>
      </c>
      <c r="O50" s="3">
        <f>+O49/O48</f>
        <v>0.27020202020202022</v>
      </c>
      <c r="P50" s="3">
        <f>+P49/P48</f>
        <v>0.58986175115207373</v>
      </c>
      <c r="Q50" s="3">
        <v>0</v>
      </c>
      <c r="R50" s="3">
        <f t="shared" ref="R50:X50" si="18">+R49/R48</f>
        <v>0.84642356241234218</v>
      </c>
      <c r="S50" s="3">
        <f t="shared" si="18"/>
        <v>0.12697065243754549</v>
      </c>
      <c r="T50" s="3">
        <f t="shared" si="18"/>
        <v>0.19209532112757918</v>
      </c>
      <c r="U50" s="3">
        <v>0</v>
      </c>
      <c r="V50" s="3">
        <f t="shared" si="18"/>
        <v>0.56030855539971947</v>
      </c>
      <c r="W50" s="3">
        <f t="shared" si="18"/>
        <v>0.8</v>
      </c>
      <c r="X50" s="3">
        <f t="shared" si="18"/>
        <v>0.34941601779755282</v>
      </c>
      <c r="Y50" s="3">
        <f t="shared" ref="Y50:AG50" si="19">+Y49/Y48</f>
        <v>0.57007786429365959</v>
      </c>
      <c r="Z50" s="3">
        <f t="shared" si="19"/>
        <v>0.70887096774193548</v>
      </c>
      <c r="AA50" s="3">
        <f t="shared" si="19"/>
        <v>0.50967741935483868</v>
      </c>
      <c r="AB50" s="3">
        <f t="shared" si="19"/>
        <v>0.42150537634408602</v>
      </c>
      <c r="AC50" s="3">
        <f t="shared" si="19"/>
        <v>0.46881720430107526</v>
      </c>
      <c r="AD50" s="3">
        <f t="shared" si="19"/>
        <v>0.67996388410079622</v>
      </c>
      <c r="AE50" s="3">
        <f t="shared" si="19"/>
        <v>0.67245657568238215</v>
      </c>
      <c r="AF50" s="3">
        <f t="shared" si="19"/>
        <v>0.71176701057855551</v>
      </c>
      <c r="AG50" s="3">
        <f t="shared" si="19"/>
        <v>0.50618612157073695</v>
      </c>
      <c r="AH50" s="3">
        <f t="shared" ref="AH50:AQ50" si="20">+AH49/AH48</f>
        <v>0.4561290322580645</v>
      </c>
      <c r="AI50" s="3">
        <f t="shared" si="20"/>
        <v>0.81164874551971322</v>
      </c>
      <c r="AJ50" s="3">
        <f t="shared" si="20"/>
        <v>0.42884250474383301</v>
      </c>
      <c r="AK50" s="6">
        <f t="shared" si="20"/>
        <v>0.50923829100326334</v>
      </c>
      <c r="AL50" s="3">
        <f t="shared" si="20"/>
        <v>0.50255454036919633</v>
      </c>
      <c r="AM50" s="3">
        <f t="shared" si="20"/>
        <v>0.46794178385288621</v>
      </c>
      <c r="AN50" s="3">
        <f t="shared" si="20"/>
        <v>0.60794003788814754</v>
      </c>
      <c r="AO50" s="3">
        <f t="shared" si="20"/>
        <v>0.5551169372858632</v>
      </c>
      <c r="AP50" s="3">
        <f t="shared" si="20"/>
        <v>0.50071456411588933</v>
      </c>
      <c r="AQ50" s="3">
        <f t="shared" si="20"/>
        <v>0.50175953079178881</v>
      </c>
    </row>
    <row r="51" spans="1:45" x14ac:dyDescent="0.2">
      <c r="A51" s="20"/>
      <c r="B51" s="20"/>
      <c r="C51" s="20">
        <v>1</v>
      </c>
      <c r="D51" s="39">
        <v>1</v>
      </c>
      <c r="E51" s="39"/>
      <c r="F51" s="39">
        <v>1</v>
      </c>
      <c r="G51" s="39">
        <v>1</v>
      </c>
      <c r="H51" s="39">
        <v>1</v>
      </c>
      <c r="I51" s="39">
        <v>1</v>
      </c>
      <c r="J51" s="39"/>
      <c r="K51" s="39">
        <v>1</v>
      </c>
      <c r="L51" s="39">
        <v>1</v>
      </c>
      <c r="M51" s="39">
        <v>1</v>
      </c>
      <c r="N51" s="39"/>
      <c r="O51" s="39">
        <v>1</v>
      </c>
      <c r="P51" s="39">
        <v>1</v>
      </c>
      <c r="Q51" s="39"/>
      <c r="R51" s="39">
        <v>1</v>
      </c>
      <c r="S51" s="39">
        <v>1</v>
      </c>
      <c r="T51" s="39">
        <v>1</v>
      </c>
      <c r="U51" s="39"/>
      <c r="V51" s="39">
        <v>1</v>
      </c>
      <c r="W51" s="39">
        <v>1</v>
      </c>
      <c r="X51" s="39">
        <v>1</v>
      </c>
      <c r="Y51" s="39">
        <v>1</v>
      </c>
      <c r="Z51" s="39">
        <v>1</v>
      </c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39">
        <v>1</v>
      </c>
      <c r="AJ51" s="39">
        <v>1</v>
      </c>
      <c r="AK51" s="63">
        <f>SUM(B51:AJ51)</f>
        <v>29</v>
      </c>
      <c r="AL51" s="20">
        <f>+AC51+S51+X51+AD51+AF51+U51+AI51</f>
        <v>6</v>
      </c>
      <c r="AM51" s="20">
        <f>+D51+I51+O51+R51+T51+Z51+E51+Y51+AG51+F51</f>
        <v>9</v>
      </c>
      <c r="AN51">
        <f>+B51+Q51+AE51+AJ51+AH51+L51+M51+W51+V51+AB51+N51+K51+H51+G51+J51+P51+C51+AA51</f>
        <v>14</v>
      </c>
      <c r="AO51" s="20">
        <f>+R51+W51+Z51+AJ51+O51+I51+F51</f>
        <v>7</v>
      </c>
      <c r="AP51" s="20">
        <f>+B51+D51+K51+L51+M51+Q51+S51+T51+X51+AC51+AD51+AE51+AF51+AH51+U51+E51+AI51+Y51+N51+G51+AG51+AA51</f>
        <v>17</v>
      </c>
      <c r="AQ51" s="20">
        <f>+AB51+V51+H51+J51+P51+C51</f>
        <v>5</v>
      </c>
    </row>
    <row r="52" spans="1:45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54"/>
      <c r="AL52" s="20"/>
      <c r="AM52" s="20"/>
      <c r="AN52" s="20"/>
      <c r="AO52" s="20"/>
      <c r="AP52" s="20"/>
      <c r="AQ52" s="20"/>
    </row>
    <row r="53" spans="1:45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1"/>
      <c r="AC53" s="1"/>
      <c r="AD53" s="1"/>
      <c r="AE53" s="1"/>
      <c r="AF53" s="1"/>
      <c r="AG53" s="1"/>
      <c r="AK53" s="5"/>
    </row>
    <row r="54" spans="1:45" x14ac:dyDescent="0.2">
      <c r="A54" t="s">
        <v>1</v>
      </c>
      <c r="B54" s="38">
        <v>0</v>
      </c>
      <c r="C54" s="38">
        <v>630</v>
      </c>
      <c r="D54" s="38">
        <v>0</v>
      </c>
      <c r="E54" s="38"/>
      <c r="F54" s="38">
        <v>3270</v>
      </c>
      <c r="G54" s="38">
        <v>510</v>
      </c>
      <c r="H54" s="38">
        <v>420</v>
      </c>
      <c r="I54" s="38">
        <v>0</v>
      </c>
      <c r="J54" s="38"/>
      <c r="K54" s="38">
        <v>1710</v>
      </c>
      <c r="L54" s="38">
        <v>1140</v>
      </c>
      <c r="M54" s="38">
        <v>750</v>
      </c>
      <c r="N54" s="38">
        <v>0</v>
      </c>
      <c r="O54" s="38">
        <v>0</v>
      </c>
      <c r="P54" s="38">
        <v>420</v>
      </c>
      <c r="Q54" s="38">
        <v>0</v>
      </c>
      <c r="R54" s="38">
        <v>2790</v>
      </c>
      <c r="S54" s="38">
        <v>7980</v>
      </c>
      <c r="T54" s="38">
        <v>3330</v>
      </c>
      <c r="U54" s="38">
        <f>6300/30*12</f>
        <v>2520</v>
      </c>
      <c r="V54" s="38">
        <v>1380</v>
      </c>
      <c r="W54" s="38">
        <v>0</v>
      </c>
      <c r="X54" s="38">
        <v>13920</v>
      </c>
      <c r="Y54" s="38">
        <v>0</v>
      </c>
      <c r="Z54" s="38">
        <v>0</v>
      </c>
      <c r="AA54" s="38">
        <v>0</v>
      </c>
      <c r="AB54" s="38">
        <v>450</v>
      </c>
      <c r="AC54" s="38">
        <v>5400</v>
      </c>
      <c r="AD54" s="38">
        <v>11790</v>
      </c>
      <c r="AE54" s="38">
        <v>390</v>
      </c>
      <c r="AF54" s="38">
        <v>7320</v>
      </c>
      <c r="AG54" s="38">
        <v>1799</v>
      </c>
      <c r="AH54" s="38">
        <v>1530</v>
      </c>
      <c r="AI54" s="38">
        <v>5400</v>
      </c>
      <c r="AJ54" s="38">
        <v>0</v>
      </c>
      <c r="AK54" s="64">
        <f>SUM(B54:AJ54)</f>
        <v>74849</v>
      </c>
      <c r="AL54">
        <f>+AC54+S54+X54+AD54+AF54+U54+AI54</f>
        <v>54330</v>
      </c>
      <c r="AM54" s="20">
        <f>+D54+I54+O54+R54+T54+Z54+E54+Y54+AG54+F54</f>
        <v>11189</v>
      </c>
      <c r="AN54">
        <f>+B54+Q54+AE54+AJ54+AH54+L54+M54+W54+V54+AB54+N54+K54+H54+G54+J54+P54+C54+AA54</f>
        <v>9330</v>
      </c>
      <c r="AO54">
        <f>+R54+W54+Z54+AJ54+O54+I54+F54</f>
        <v>6060</v>
      </c>
      <c r="AP54" s="20">
        <f>+B54+D54+K54+L54+M54+Q54+S54+T54+X54+AC54+AD54+AE54+AF54+AH54+U54+E54+AI54+Y54+N54+G54+AG54+AA54</f>
        <v>65489</v>
      </c>
      <c r="AQ54" s="20">
        <f>+AB54+V54+H54+J54+P54+C54</f>
        <v>3300</v>
      </c>
      <c r="AR54">
        <f>+AL54+AM54+AN54</f>
        <v>74849</v>
      </c>
      <c r="AS54">
        <f>+AL54+AM54+AN54</f>
        <v>74849</v>
      </c>
    </row>
    <row r="55" spans="1:45" x14ac:dyDescent="0.2">
      <c r="A55" t="s">
        <v>2</v>
      </c>
      <c r="B55" s="38"/>
      <c r="C55" s="38">
        <v>386</v>
      </c>
      <c r="D55" s="38"/>
      <c r="E55" s="38"/>
      <c r="F55" s="38">
        <f>+F54*0.3</f>
        <v>981</v>
      </c>
      <c r="G55" s="38">
        <v>272</v>
      </c>
      <c r="H55" s="38">
        <v>54</v>
      </c>
      <c r="I55" s="38"/>
      <c r="J55" s="38"/>
      <c r="K55" s="38">
        <v>1522</v>
      </c>
      <c r="L55" s="38">
        <v>900</v>
      </c>
      <c r="M55" s="38">
        <v>428</v>
      </c>
      <c r="N55" s="38"/>
      <c r="O55" s="38"/>
      <c r="P55" s="38">
        <f>+P54*0.35</f>
        <v>147</v>
      </c>
      <c r="Q55" s="38"/>
      <c r="R55" s="38">
        <v>2041</v>
      </c>
      <c r="S55" s="38">
        <v>958</v>
      </c>
      <c r="T55" s="38">
        <v>673</v>
      </c>
      <c r="U55" s="38">
        <v>233</v>
      </c>
      <c r="V55" s="38">
        <v>660</v>
      </c>
      <c r="W55" s="38"/>
      <c r="X55" s="38">
        <v>3341</v>
      </c>
      <c r="Y55" s="38"/>
      <c r="Z55" s="38"/>
      <c r="AA55" s="38"/>
      <c r="AB55" s="38">
        <v>176</v>
      </c>
      <c r="AC55" s="38">
        <v>2880</v>
      </c>
      <c r="AD55" s="38">
        <v>8315</v>
      </c>
      <c r="AE55" s="38">
        <v>184</v>
      </c>
      <c r="AF55" s="38">
        <v>4364</v>
      </c>
      <c r="AG55" s="38">
        <v>858</v>
      </c>
      <c r="AH55" s="38">
        <v>756</v>
      </c>
      <c r="AI55" s="38">
        <v>3099</v>
      </c>
      <c r="AJ55" s="38"/>
      <c r="AK55" s="64">
        <f>SUM(B55:AJ55)</f>
        <v>33228</v>
      </c>
      <c r="AL55">
        <f>+AC55+S55+X55+AD55+AF55+U55+AI55</f>
        <v>23190</v>
      </c>
      <c r="AM55" s="48">
        <f>+D55+I55+O55+R55+T55+Z55+E55+Y55+AG55+F55</f>
        <v>4553</v>
      </c>
      <c r="AN55">
        <f>+B55+Q55+AE55+AJ55+AH55+L55+M55+W55+V55+AB55+N55+K55+H55+G55+J55+P55+C55+AA55</f>
        <v>5485</v>
      </c>
      <c r="AO55">
        <f>+R55+W55+Z55+AJ55+O55+I55+F55</f>
        <v>3022</v>
      </c>
      <c r="AP55" s="20">
        <f>+B55+D55+K55+L55+M55+Q55+S55+T55+X55+AC55+AD55+AE55+AF55+AH55+U55+E55+AI55+Y55+N55+G55+AG55+AA55</f>
        <v>28783</v>
      </c>
      <c r="AQ55" s="20">
        <f>+AB55+V55+H55+J55+P55+C55</f>
        <v>1423</v>
      </c>
      <c r="AR55">
        <f>+AL55+AM55+AN55</f>
        <v>33228</v>
      </c>
      <c r="AS55">
        <f>+AL55+AM55+AN55</f>
        <v>33228</v>
      </c>
    </row>
    <row r="56" spans="1:45" x14ac:dyDescent="0.2">
      <c r="A56" t="s">
        <v>4</v>
      </c>
      <c r="B56" s="3">
        <v>0</v>
      </c>
      <c r="C56" s="3">
        <f>+C55/C54</f>
        <v>0.61269841269841274</v>
      </c>
      <c r="D56" s="3">
        <v>0</v>
      </c>
      <c r="E56" s="3"/>
      <c r="F56" s="3">
        <f>+F55/F54</f>
        <v>0.3</v>
      </c>
      <c r="G56" s="3">
        <f>+G55/G54</f>
        <v>0.53333333333333333</v>
      </c>
      <c r="H56" s="3">
        <f>+H55/H54</f>
        <v>0.12857142857142856</v>
      </c>
      <c r="I56" s="3">
        <v>0</v>
      </c>
      <c r="J56" s="3" t="e">
        <f>+J55/J54</f>
        <v>#DIV/0!</v>
      </c>
      <c r="K56" s="3">
        <f>+K55/K54</f>
        <v>0.89005847953216377</v>
      </c>
      <c r="L56" s="3">
        <f>+L55/L54</f>
        <v>0.78947368421052633</v>
      </c>
      <c r="M56" s="3">
        <f>+M55/M54</f>
        <v>0.57066666666666666</v>
      </c>
      <c r="N56" s="3">
        <v>0</v>
      </c>
      <c r="O56" s="3">
        <v>0</v>
      </c>
      <c r="P56" s="3">
        <f>+P55/P54</f>
        <v>0.35</v>
      </c>
      <c r="Q56" s="3">
        <v>0</v>
      </c>
      <c r="R56" s="3">
        <f>+R55/R54</f>
        <v>0.73154121863799282</v>
      </c>
      <c r="S56" s="3">
        <f>+S55/S54</f>
        <v>0.12005012531328321</v>
      </c>
      <c r="T56" s="3">
        <f>+T55/T54</f>
        <v>0.20210210210210211</v>
      </c>
      <c r="U56" s="3">
        <f>+U55/U54</f>
        <v>9.2460317460317465E-2</v>
      </c>
      <c r="V56" s="3">
        <f>+V55/V54</f>
        <v>0.47826086956521741</v>
      </c>
      <c r="W56" s="3">
        <v>0</v>
      </c>
      <c r="X56" s="3">
        <f>+X55/X54</f>
        <v>0.24001436781609195</v>
      </c>
      <c r="Y56" s="3">
        <v>0</v>
      </c>
      <c r="Z56" s="3">
        <v>0</v>
      </c>
      <c r="AA56" s="3">
        <v>0</v>
      </c>
      <c r="AB56" s="3">
        <f t="shared" ref="AB56:AI56" si="21">+AB55/AB54</f>
        <v>0.39111111111111113</v>
      </c>
      <c r="AC56" s="3">
        <f t="shared" si="21"/>
        <v>0.53333333333333333</v>
      </c>
      <c r="AD56" s="3">
        <f t="shared" si="21"/>
        <v>0.70525869380831208</v>
      </c>
      <c r="AE56" s="3">
        <f t="shared" si="21"/>
        <v>0.47179487179487178</v>
      </c>
      <c r="AF56" s="3">
        <f t="shared" si="21"/>
        <v>0.59617486338797809</v>
      </c>
      <c r="AG56" s="3">
        <f t="shared" si="21"/>
        <v>0.47693162868260147</v>
      </c>
      <c r="AH56" s="3">
        <f t="shared" si="21"/>
        <v>0.49411764705882355</v>
      </c>
      <c r="AI56" s="3">
        <f t="shared" si="21"/>
        <v>0.57388888888888889</v>
      </c>
      <c r="AJ56" s="3">
        <v>0</v>
      </c>
      <c r="AK56" s="6">
        <f t="shared" ref="AK56:AQ56" si="22">+AK55/AK54</f>
        <v>0.44393378669053696</v>
      </c>
      <c r="AL56" s="3">
        <f t="shared" si="22"/>
        <v>0.42683600220872447</v>
      </c>
      <c r="AM56" s="3">
        <f t="shared" si="22"/>
        <v>0.40691750826704798</v>
      </c>
      <c r="AN56" s="3">
        <f t="shared" si="22"/>
        <v>0.58788853161843513</v>
      </c>
      <c r="AO56" s="3">
        <f t="shared" si="22"/>
        <v>0.4986798679867987</v>
      </c>
      <c r="AP56" s="3">
        <f t="shared" si="22"/>
        <v>0.43950892516300449</v>
      </c>
      <c r="AQ56" s="3">
        <f t="shared" si="22"/>
        <v>0.43121212121212121</v>
      </c>
    </row>
    <row r="57" spans="1:45" x14ac:dyDescent="0.2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>
        <v>1</v>
      </c>
      <c r="I57" s="20"/>
      <c r="J57" s="20"/>
      <c r="K57" s="20">
        <v>1</v>
      </c>
      <c r="L57" s="20">
        <v>1</v>
      </c>
      <c r="M57" s="20">
        <v>1</v>
      </c>
      <c r="N57" s="20"/>
      <c r="O57" s="20"/>
      <c r="P57" s="20">
        <v>1</v>
      </c>
      <c r="Q57" s="20"/>
      <c r="R57" s="20">
        <v>1</v>
      </c>
      <c r="S57" s="20">
        <v>1</v>
      </c>
      <c r="T57" s="20">
        <v>1</v>
      </c>
      <c r="U57" s="20">
        <v>1</v>
      </c>
      <c r="V57" s="20">
        <v>1</v>
      </c>
      <c r="W57" s="20"/>
      <c r="X57" s="20">
        <v>1</v>
      </c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>
        <v>1</v>
      </c>
      <c r="AH57" s="20">
        <v>1</v>
      </c>
      <c r="AI57" s="20">
        <v>1</v>
      </c>
      <c r="AJ57" s="20"/>
      <c r="AK57" s="64">
        <f>SUM(B57:AJ57)</f>
        <v>22</v>
      </c>
      <c r="AL57" s="20">
        <f>+AC57+S57+X57+AD57+AF57+U57+AI57</f>
        <v>7</v>
      </c>
      <c r="AM57" s="20">
        <f>+D57+I57+O57+R57+T57+Z57+E57+Y57+AG57+F57</f>
        <v>4</v>
      </c>
      <c r="AN57">
        <f>+B57+Q57+AE57+AJ57+AH57+L57+M57+W57+V57+AB57+N57+K57+H57+G57+J57+P57+C57+AA57</f>
        <v>11</v>
      </c>
      <c r="AO57" s="20">
        <f>+R57+W57+Z57+AJ57+O57+I57+F57</f>
        <v>2</v>
      </c>
      <c r="AP57" s="20">
        <f>+B57+D57+K57+L57+M57+Q57+S57+T57+X57+AC57+AD57+AE57+AF57+AH57+U57+E57+AI57+Y57+N57+G57+AG57+AA57</f>
        <v>15</v>
      </c>
      <c r="AQ57" s="20">
        <f>+AB57+V57+H57+J57+P57+C57</f>
        <v>5</v>
      </c>
    </row>
    <row r="58" spans="1:45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54"/>
      <c r="AL58" s="20"/>
      <c r="AM58" s="20"/>
      <c r="AN58" s="20"/>
      <c r="AO58" s="20"/>
      <c r="AP58" s="20"/>
      <c r="AQ58" s="20"/>
    </row>
    <row r="59" spans="1:45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1"/>
      <c r="AC59" s="1"/>
      <c r="AD59" s="4"/>
      <c r="AE59" s="1"/>
      <c r="AF59" s="1"/>
      <c r="AG59" s="1"/>
      <c r="AK59" s="5"/>
    </row>
    <row r="60" spans="1:45" x14ac:dyDescent="0.2">
      <c r="A60" t="s">
        <v>1</v>
      </c>
      <c r="B60" s="38">
        <v>0</v>
      </c>
      <c r="C60" s="38">
        <v>651</v>
      </c>
      <c r="D60" s="38">
        <v>1643</v>
      </c>
      <c r="E60" s="38"/>
      <c r="F60" s="38">
        <v>3379</v>
      </c>
      <c r="G60" s="38">
        <v>527</v>
      </c>
      <c r="H60" s="38">
        <f>20*31</f>
        <v>620</v>
      </c>
      <c r="I60" s="38">
        <v>2296</v>
      </c>
      <c r="J60" s="38"/>
      <c r="K60" s="38">
        <v>1787</v>
      </c>
      <c r="L60" s="38">
        <v>1178</v>
      </c>
      <c r="M60" s="38">
        <v>837</v>
      </c>
      <c r="N60" s="38">
        <v>0</v>
      </c>
      <c r="O60" s="38">
        <f>2232/31*7</f>
        <v>504</v>
      </c>
      <c r="P60" s="38">
        <v>434</v>
      </c>
      <c r="Q60" s="38">
        <v>0</v>
      </c>
      <c r="R60" s="38">
        <v>3038</v>
      </c>
      <c r="S60" s="38">
        <f>8246/31*17</f>
        <v>4522</v>
      </c>
      <c r="T60" s="38">
        <f>3441/31*12</f>
        <v>1332</v>
      </c>
      <c r="U60" s="38">
        <v>6300</v>
      </c>
      <c r="V60" s="38">
        <v>1426</v>
      </c>
      <c r="W60" s="38">
        <f>775/31*21</f>
        <v>525</v>
      </c>
      <c r="X60" s="38">
        <v>14384</v>
      </c>
      <c r="Y60" s="38">
        <f>1798/31*14</f>
        <v>812</v>
      </c>
      <c r="Z60" s="38">
        <f>1240/31*14</f>
        <v>560</v>
      </c>
      <c r="AA60" s="38">
        <v>0</v>
      </c>
      <c r="AB60" s="38">
        <v>465</v>
      </c>
      <c r="AC60" s="38">
        <v>5580</v>
      </c>
      <c r="AD60" s="38">
        <v>12183</v>
      </c>
      <c r="AE60" s="38">
        <v>403</v>
      </c>
      <c r="AF60" s="38">
        <v>7626</v>
      </c>
      <c r="AG60" s="38">
        <v>1859</v>
      </c>
      <c r="AH60" s="38">
        <v>1438</v>
      </c>
      <c r="AI60" s="38">
        <v>5580</v>
      </c>
      <c r="AJ60" s="38"/>
      <c r="AK60" s="65">
        <f>SUM(B60:AJ60)</f>
        <v>81889</v>
      </c>
      <c r="AL60">
        <f>+AC60+S60+X60+AD60+AF60+U60+AI60</f>
        <v>56175</v>
      </c>
      <c r="AM60" s="20">
        <f>+D60+I60+O60+R60+T60+Z60+E60+Y60+AG60+F60</f>
        <v>15423</v>
      </c>
      <c r="AN60">
        <f>+B60+Q60+AE60+AJ60+AH60+L60+M60+W60+V60+AB60+N60+K60+H60+G60+J60+P60+C60+AA60</f>
        <v>10291</v>
      </c>
      <c r="AO60">
        <f>+R60+W60+Z60+AJ60+O60+I60+F60</f>
        <v>10302</v>
      </c>
      <c r="AP60" s="20">
        <f>+B60+D60+K60+L60+M60+Q60+S60+T60+X60+AC60+AD60+AE60+AF60+AH60+U60+E60+AI60+Y60+N60+G60+AG60+AA60</f>
        <v>67991</v>
      </c>
      <c r="AQ60" s="20">
        <f>+AB60+V60+H60+J60+P60+C60</f>
        <v>3596</v>
      </c>
      <c r="AR60">
        <f>+AL60+AM60+AN60</f>
        <v>81889</v>
      </c>
      <c r="AS60">
        <f>+AO60+AP60+AQ60</f>
        <v>81889</v>
      </c>
    </row>
    <row r="61" spans="1:45" x14ac:dyDescent="0.2">
      <c r="A61" t="s">
        <v>2</v>
      </c>
      <c r="B61" s="38"/>
      <c r="C61" s="38">
        <v>431</v>
      </c>
      <c r="D61" s="38">
        <v>296</v>
      </c>
      <c r="E61" s="38"/>
      <c r="F61" s="38">
        <v>1825</v>
      </c>
      <c r="G61" s="38">
        <v>377</v>
      </c>
      <c r="H61" s="38">
        <v>200</v>
      </c>
      <c r="I61" s="38">
        <v>1157</v>
      </c>
      <c r="J61" s="38"/>
      <c r="K61" s="38">
        <v>1573</v>
      </c>
      <c r="L61" s="38">
        <v>1001</v>
      </c>
      <c r="M61" s="38">
        <v>502</v>
      </c>
      <c r="N61" s="38"/>
      <c r="O61" s="38">
        <v>224</v>
      </c>
      <c r="P61" s="38">
        <v>152</v>
      </c>
      <c r="Q61" s="38"/>
      <c r="R61" s="38">
        <v>2380</v>
      </c>
      <c r="S61" s="38">
        <v>493</v>
      </c>
      <c r="T61" s="38">
        <v>261</v>
      </c>
      <c r="U61" s="38">
        <v>1380</v>
      </c>
      <c r="V61" s="38">
        <v>840</v>
      </c>
      <c r="W61" s="38">
        <v>305</v>
      </c>
      <c r="X61" s="38">
        <v>3577</v>
      </c>
      <c r="Y61" s="38">
        <v>138</v>
      </c>
      <c r="Z61" s="38">
        <v>307</v>
      </c>
      <c r="AA61" s="38"/>
      <c r="AB61" s="38">
        <v>195</v>
      </c>
      <c r="AC61" s="38">
        <v>3385</v>
      </c>
      <c r="AD61" s="38">
        <v>9251</v>
      </c>
      <c r="AE61" s="38">
        <v>168</v>
      </c>
      <c r="AF61" s="38">
        <v>5058</v>
      </c>
      <c r="AG61" s="38">
        <v>907</v>
      </c>
      <c r="AH61" s="38">
        <v>914</v>
      </c>
      <c r="AI61" s="38">
        <v>3878</v>
      </c>
      <c r="AJ61" s="38"/>
      <c r="AK61" s="65">
        <f>SUM(B61:AJ61)</f>
        <v>41175</v>
      </c>
      <c r="AL61">
        <f>+AC61+S61+X61+AD61+AF61+U61+AI61</f>
        <v>27022</v>
      </c>
      <c r="AM61" s="48">
        <f>+D61+I61+O61+R61+T61+Z61+E61+Y61+AG61+F61</f>
        <v>7495</v>
      </c>
      <c r="AN61">
        <f>+B61+Q61+AE61+AJ61+AH61+L61+M61+W61+V61+AB61+N61+K61+H61+G61+J61+P61+C61+AA61</f>
        <v>6658</v>
      </c>
      <c r="AO61">
        <f>+R61+W61+Z61+AJ61+O61+I61+F61</f>
        <v>6198</v>
      </c>
      <c r="AP61" s="20">
        <f>+B61+D61+K61+L61+M61+Q61+S61+T61+X61+AC61+AD61+AE61+AF61+AH61+U61+E61+AI61+Y61+N61+G61+AG61+AA61</f>
        <v>33159</v>
      </c>
      <c r="AQ61" s="20">
        <f>+AB61+V61+H61+J61+P61+C61</f>
        <v>1818</v>
      </c>
      <c r="AR61">
        <f>+AL61+AM61+AN61</f>
        <v>41175</v>
      </c>
      <c r="AS61">
        <f>+AO61+AP61+AQ61</f>
        <v>41175</v>
      </c>
    </row>
    <row r="62" spans="1:45" x14ac:dyDescent="0.2">
      <c r="A62" t="s">
        <v>4</v>
      </c>
      <c r="B62" s="3">
        <v>0</v>
      </c>
      <c r="C62" s="3">
        <f t="shared" ref="C62" si="23">+C61/C60</f>
        <v>0.66205837173579107</v>
      </c>
      <c r="D62" s="3">
        <f>+D61/D60</f>
        <v>0.18015824710894704</v>
      </c>
      <c r="E62" s="3"/>
      <c r="F62" s="3">
        <f t="shared" ref="F62:M62" si="24">+F61/F60</f>
        <v>0.54010062148564664</v>
      </c>
      <c r="G62" s="3">
        <f t="shared" si="24"/>
        <v>0.71537001897533203</v>
      </c>
      <c r="H62" s="3">
        <f t="shared" si="24"/>
        <v>0.32258064516129031</v>
      </c>
      <c r="I62" s="3">
        <f t="shared" si="24"/>
        <v>0.50391986062717775</v>
      </c>
      <c r="J62" s="3" t="e">
        <f t="shared" si="24"/>
        <v>#DIV/0!</v>
      </c>
      <c r="K62" s="3">
        <f t="shared" si="24"/>
        <v>0.88024622271964181</v>
      </c>
      <c r="L62" s="3">
        <f t="shared" si="24"/>
        <v>0.84974533106960948</v>
      </c>
      <c r="M62" s="3">
        <f t="shared" si="24"/>
        <v>0.59976105137395463</v>
      </c>
      <c r="N62" s="3">
        <v>0</v>
      </c>
      <c r="O62" s="3">
        <f>+O61/O60</f>
        <v>0.44444444444444442</v>
      </c>
      <c r="P62" s="3">
        <f>+P61/P60</f>
        <v>0.35023041474654376</v>
      </c>
      <c r="Q62" s="3">
        <v>0</v>
      </c>
      <c r="R62" s="3">
        <f t="shared" ref="R62:Z62" si="25">+R61/R60</f>
        <v>0.78341013824884798</v>
      </c>
      <c r="S62" s="3">
        <f t="shared" si="25"/>
        <v>0.10902255639097744</v>
      </c>
      <c r="T62" s="3">
        <f t="shared" si="25"/>
        <v>0.19594594594594594</v>
      </c>
      <c r="U62" s="3">
        <f t="shared" si="25"/>
        <v>0.21904761904761905</v>
      </c>
      <c r="V62" s="3">
        <f t="shared" si="25"/>
        <v>0.5890603085553997</v>
      </c>
      <c r="W62" s="3">
        <f t="shared" si="25"/>
        <v>0.580952380952381</v>
      </c>
      <c r="X62" s="3">
        <f t="shared" si="25"/>
        <v>0.24867908787541712</v>
      </c>
      <c r="Y62" s="3">
        <f t="shared" si="25"/>
        <v>0.16995073891625614</v>
      </c>
      <c r="Z62" s="3">
        <f t="shared" si="25"/>
        <v>0.54821428571428577</v>
      </c>
      <c r="AA62" s="3">
        <v>0</v>
      </c>
      <c r="AB62" s="3">
        <f t="shared" ref="AB62:AI62" si="26">+AB61/AB60</f>
        <v>0.41935483870967744</v>
      </c>
      <c r="AC62" s="3">
        <f t="shared" si="26"/>
        <v>0.60663082437275984</v>
      </c>
      <c r="AD62" s="3">
        <f t="shared" si="26"/>
        <v>0.75933678076007549</v>
      </c>
      <c r="AE62" s="3">
        <f t="shared" si="26"/>
        <v>0.41687344913151364</v>
      </c>
      <c r="AF62" s="3">
        <f t="shared" si="26"/>
        <v>0.66325727773406762</v>
      </c>
      <c r="AG62" s="3">
        <f t="shared" si="26"/>
        <v>0.48789671866594941</v>
      </c>
      <c r="AH62" s="3">
        <f t="shared" si="26"/>
        <v>0.63560500695410294</v>
      </c>
      <c r="AI62" s="3">
        <f t="shared" si="26"/>
        <v>0.69498207885304664</v>
      </c>
      <c r="AJ62" s="3">
        <v>0</v>
      </c>
      <c r="AK62" s="6">
        <f t="shared" ref="AK62:AQ62" si="27">+AK61/AK60</f>
        <v>0.5028147858686759</v>
      </c>
      <c r="AL62" s="3">
        <f t="shared" si="27"/>
        <v>0.48103248776145974</v>
      </c>
      <c r="AM62" s="3">
        <f t="shared" si="27"/>
        <v>0.48596252350385788</v>
      </c>
      <c r="AN62" s="3">
        <f t="shared" si="27"/>
        <v>0.64697308327664949</v>
      </c>
      <c r="AO62" s="3">
        <f t="shared" si="27"/>
        <v>0.6016307513104252</v>
      </c>
      <c r="AP62" s="3">
        <f t="shared" si="27"/>
        <v>0.48769690106043445</v>
      </c>
      <c r="AQ62" s="3">
        <f t="shared" si="27"/>
        <v>0.50556173526140158</v>
      </c>
    </row>
    <row r="63" spans="1:45" x14ac:dyDescent="0.2">
      <c r="A63" s="20"/>
      <c r="B63" s="20"/>
      <c r="C63" s="20">
        <v>1</v>
      </c>
      <c r="D63" s="20">
        <v>1</v>
      </c>
      <c r="E63" s="20"/>
      <c r="F63" s="20">
        <v>1</v>
      </c>
      <c r="G63" s="20">
        <v>1</v>
      </c>
      <c r="H63" s="20">
        <v>1</v>
      </c>
      <c r="I63" s="20">
        <v>1</v>
      </c>
      <c r="J63" s="20"/>
      <c r="K63" s="20">
        <v>1</v>
      </c>
      <c r="L63" s="20">
        <v>1</v>
      </c>
      <c r="M63" s="20">
        <v>1</v>
      </c>
      <c r="N63" s="20"/>
      <c r="O63" s="20">
        <v>1</v>
      </c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>
        <v>1</v>
      </c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>
        <v>1</v>
      </c>
      <c r="AI63" s="20">
        <v>1</v>
      </c>
      <c r="AJ63" s="20"/>
      <c r="AK63" s="65">
        <f>SUM(B63:AJ63)</f>
        <v>28</v>
      </c>
      <c r="AL63" s="20">
        <f>+AC63+S63+X63+AD63+AF63+U63+AI63</f>
        <v>7</v>
      </c>
      <c r="AM63" s="20">
        <f>+D63+I63+O63+R63+T63+Z63+E63+Y63+AG63+F63</f>
        <v>9</v>
      </c>
      <c r="AN63">
        <f>+B63+Q63+AE63+AJ63+AH63+L63+M63+W63+V63+AB63+N63+K63+H63+G63+J63+P63+C63+AA63</f>
        <v>12</v>
      </c>
      <c r="AO63" s="20">
        <f>+R63+W63+Z63+AJ63+O63+I63+F63</f>
        <v>6</v>
      </c>
      <c r="AP63" s="20">
        <f>+B63+D63+K63+L63+M63+Q63+S63+T63+X63+AC63+AD63+AE63+AF63+AH63+U63+E63+AI63+Y63+N63+G63+AG63+AA63</f>
        <v>17</v>
      </c>
      <c r="AQ63" s="20">
        <f>+AB63+V63+H63+J63+P63+C63</f>
        <v>5</v>
      </c>
    </row>
    <row r="64" spans="1:45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54"/>
      <c r="AL64" s="20"/>
      <c r="AM64" s="20"/>
      <c r="AN64" s="20"/>
      <c r="AO64" s="20"/>
      <c r="AP64" s="20"/>
      <c r="AQ64" s="20"/>
    </row>
    <row r="65" spans="1:45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1"/>
      <c r="AC65" s="1"/>
      <c r="AD65" s="1"/>
      <c r="AE65" s="1"/>
      <c r="AF65" s="1"/>
      <c r="AG65" s="1"/>
      <c r="AK65" s="5"/>
    </row>
    <row r="66" spans="1:45" x14ac:dyDescent="0.2">
      <c r="A66" t="s">
        <v>1</v>
      </c>
      <c r="B66" s="38">
        <v>540</v>
      </c>
      <c r="C66" s="38">
        <v>630</v>
      </c>
      <c r="D66" s="38">
        <v>1590</v>
      </c>
      <c r="E66" s="38"/>
      <c r="F66" s="38">
        <v>3270</v>
      </c>
      <c r="G66" s="38">
        <v>510</v>
      </c>
      <c r="H66" s="38">
        <v>652</v>
      </c>
      <c r="I66" s="38">
        <v>2460</v>
      </c>
      <c r="J66" s="38"/>
      <c r="K66" s="38">
        <v>1710</v>
      </c>
      <c r="L66" s="38">
        <v>1140</v>
      </c>
      <c r="M66" s="38">
        <f>27*30</f>
        <v>810</v>
      </c>
      <c r="N66" s="38">
        <v>420</v>
      </c>
      <c r="O66" s="38">
        <v>2160</v>
      </c>
      <c r="P66" s="38">
        <v>420</v>
      </c>
      <c r="Q66" s="38">
        <v>360</v>
      </c>
      <c r="R66" s="38">
        <v>2940</v>
      </c>
      <c r="S66" s="38">
        <v>7980</v>
      </c>
      <c r="T66" s="38">
        <v>3330</v>
      </c>
      <c r="U66" s="38">
        <v>5880</v>
      </c>
      <c r="V66" s="38">
        <v>1380</v>
      </c>
      <c r="W66" s="38">
        <v>750</v>
      </c>
      <c r="X66" s="38">
        <v>13920</v>
      </c>
      <c r="Y66" s="38">
        <v>1740</v>
      </c>
      <c r="Z66" s="38">
        <v>1200</v>
      </c>
      <c r="AA66" s="38">
        <v>600</v>
      </c>
      <c r="AB66" s="38">
        <v>450</v>
      </c>
      <c r="AC66" s="38">
        <v>5400</v>
      </c>
      <c r="AD66" s="38">
        <f>373*30</f>
        <v>11190</v>
      </c>
      <c r="AE66" s="38">
        <v>390</v>
      </c>
      <c r="AF66" s="38">
        <v>7380</v>
      </c>
      <c r="AG66" s="38">
        <v>1799</v>
      </c>
      <c r="AH66" s="38">
        <v>1429</v>
      </c>
      <c r="AI66" s="38">
        <v>5400</v>
      </c>
      <c r="AJ66" s="38">
        <v>1020</v>
      </c>
      <c r="AK66" s="66">
        <f>SUM(B66:AJ66)</f>
        <v>90850</v>
      </c>
      <c r="AL66">
        <f>+AC66+S66+X66+AD66+AF66+U66+AI66</f>
        <v>57150</v>
      </c>
      <c r="AM66" s="20">
        <f>+D66+I66+O66+R66+T66+Z66+E66+Y66+AG66+F66</f>
        <v>20489</v>
      </c>
      <c r="AN66">
        <f>+B66+Q66+AE66+AJ66+AH66+L66+M66+W66+V66+AB66+N66+K66+H66+G66+J66+P66+C66+AA66</f>
        <v>13211</v>
      </c>
      <c r="AO66">
        <f>+R66+W66+Z66+AJ66+O66+I66+F66</f>
        <v>13800</v>
      </c>
      <c r="AP66" s="20">
        <f>+B66+D66+K66+L66+M66+Q66+S66+T66+X66+AC66+AD66+AE66+AF66+AH66+U66+E66+AI66+Y66+N66+G66+AG66+AA66</f>
        <v>73518</v>
      </c>
      <c r="AQ66" s="20">
        <f>+AB66+V66+H66+J66+P66+C66</f>
        <v>3532</v>
      </c>
      <c r="AR66">
        <f>+AL66+AM66+AN66</f>
        <v>90850</v>
      </c>
      <c r="AS66">
        <f>+AO66+AP66+AQ66</f>
        <v>90850</v>
      </c>
    </row>
    <row r="67" spans="1:45" x14ac:dyDescent="0.2">
      <c r="A67" t="s">
        <v>2</v>
      </c>
      <c r="B67" s="38">
        <f>+B66*0.5</f>
        <v>270</v>
      </c>
      <c r="C67" s="38">
        <v>397</v>
      </c>
      <c r="D67" s="45">
        <v>572</v>
      </c>
      <c r="E67" s="45"/>
      <c r="F67" s="45">
        <f>+F66*0.76</f>
        <v>2485.1999999999998</v>
      </c>
      <c r="G67" s="45">
        <v>389</v>
      </c>
      <c r="H67" s="45">
        <v>246</v>
      </c>
      <c r="I67" s="45">
        <v>1530</v>
      </c>
      <c r="J67" s="45"/>
      <c r="K67" s="45">
        <v>1607</v>
      </c>
      <c r="L67" s="45">
        <v>1038</v>
      </c>
      <c r="M67" s="45">
        <v>563</v>
      </c>
      <c r="N67" s="45">
        <v>56</v>
      </c>
      <c r="O67" s="45">
        <v>1251</v>
      </c>
      <c r="P67" s="45">
        <v>285</v>
      </c>
      <c r="Q67" s="45">
        <v>101</v>
      </c>
      <c r="R67" s="45">
        <v>2616</v>
      </c>
      <c r="S67" s="45">
        <v>654</v>
      </c>
      <c r="T67" s="45">
        <v>1215</v>
      </c>
      <c r="U67" s="45">
        <v>1882</v>
      </c>
      <c r="V67" s="45">
        <v>947</v>
      </c>
      <c r="W67" s="45">
        <f>+W66*0.89</f>
        <v>667.5</v>
      </c>
      <c r="X67" s="45">
        <v>4594</v>
      </c>
      <c r="Y67" s="45">
        <f>+Y66*0.41</f>
        <v>713.4</v>
      </c>
      <c r="Z67" s="45">
        <v>835</v>
      </c>
      <c r="AA67" s="45">
        <v>414</v>
      </c>
      <c r="AB67" s="45">
        <v>221</v>
      </c>
      <c r="AC67" s="45">
        <v>4129</v>
      </c>
      <c r="AD67" s="45">
        <v>10398</v>
      </c>
      <c r="AE67" s="45">
        <v>233</v>
      </c>
      <c r="AF67" s="45">
        <v>6444</v>
      </c>
      <c r="AG67" s="45">
        <v>1150</v>
      </c>
      <c r="AH67" s="45">
        <v>1159</v>
      </c>
      <c r="AI67" s="45">
        <v>4925</v>
      </c>
      <c r="AJ67" s="45">
        <v>737</v>
      </c>
      <c r="AK67" s="66">
        <f>SUM(B67:AJ67)</f>
        <v>54724.100000000006</v>
      </c>
      <c r="AL67">
        <f>+AC67+S67+X67+AD67+AF67+U67+AI67</f>
        <v>33026</v>
      </c>
      <c r="AM67" s="48">
        <f>+D67+I67+O67+R67+T67+Z67+E67+Y67+AG67+F67</f>
        <v>12367.599999999999</v>
      </c>
      <c r="AN67">
        <f>+B67+Q67+AE67+AJ67+AH67+L67+M67+W67+V67+AB67+N67+K67+H67+G67+J67+P67+C67+AA67</f>
        <v>9330.5</v>
      </c>
      <c r="AO67">
        <f>+R67+W67+Z67+AJ67+O67+I67+F67</f>
        <v>10121.700000000001</v>
      </c>
      <c r="AP67" s="20">
        <f>+B67+D67+K67+L67+M67+Q67+S67+T67+X67+AC67+AD67+AE67+AF67+AH67+U67+E67+AI67+Y67+N67+G67+AG67+AA67</f>
        <v>42506.400000000001</v>
      </c>
      <c r="AQ67" s="20">
        <f>+AB67+V67+H67+J67+P67+C67</f>
        <v>2096</v>
      </c>
      <c r="AR67">
        <f>+AL67+AM67+AN67</f>
        <v>54724.1</v>
      </c>
      <c r="AS67">
        <f>+AO67+AP67+AQ67</f>
        <v>54724.100000000006</v>
      </c>
    </row>
    <row r="68" spans="1:45" x14ac:dyDescent="0.2">
      <c r="A68" t="s">
        <v>4</v>
      </c>
      <c r="B68" s="3">
        <f>+B67/B66</f>
        <v>0.5</v>
      </c>
      <c r="C68" s="3">
        <f>+C67/C66</f>
        <v>0.63015873015873014</v>
      </c>
      <c r="D68" s="3">
        <f>+D67/D66</f>
        <v>0.35974842767295595</v>
      </c>
      <c r="E68" s="3"/>
      <c r="F68" s="3">
        <f t="shared" ref="F68:AB68" si="28">+F67/F66</f>
        <v>0.7599999999999999</v>
      </c>
      <c r="G68" s="3">
        <f t="shared" si="28"/>
        <v>0.76274509803921564</v>
      </c>
      <c r="H68" s="3">
        <f t="shared" si="28"/>
        <v>0.3773006134969325</v>
      </c>
      <c r="I68" s="3">
        <f t="shared" si="28"/>
        <v>0.62195121951219512</v>
      </c>
      <c r="J68" s="3"/>
      <c r="K68" s="3">
        <f t="shared" si="28"/>
        <v>0.93976608187134503</v>
      </c>
      <c r="L68" s="3">
        <f t="shared" si="28"/>
        <v>0.91052631578947374</v>
      </c>
      <c r="M68" s="3">
        <f t="shared" si="28"/>
        <v>0.69506172839506175</v>
      </c>
      <c r="N68" s="3">
        <f t="shared" si="28"/>
        <v>0.13333333333333333</v>
      </c>
      <c r="O68" s="3">
        <f t="shared" si="28"/>
        <v>0.57916666666666672</v>
      </c>
      <c r="P68" s="3">
        <f t="shared" si="28"/>
        <v>0.6785714285714286</v>
      </c>
      <c r="Q68" s="3">
        <f t="shared" si="28"/>
        <v>0.28055555555555556</v>
      </c>
      <c r="R68" s="3">
        <f t="shared" si="28"/>
        <v>0.88979591836734695</v>
      </c>
      <c r="S68" s="3">
        <f t="shared" si="28"/>
        <v>8.1954887218045114E-2</v>
      </c>
      <c r="T68" s="3">
        <f t="shared" si="28"/>
        <v>0.36486486486486486</v>
      </c>
      <c r="U68" s="3">
        <f t="shared" si="28"/>
        <v>0.32006802721088434</v>
      </c>
      <c r="V68" s="3">
        <f t="shared" si="28"/>
        <v>0.68623188405797098</v>
      </c>
      <c r="W68" s="3">
        <f t="shared" si="28"/>
        <v>0.89</v>
      </c>
      <c r="X68" s="3">
        <f t="shared" si="28"/>
        <v>0.33002873563218393</v>
      </c>
      <c r="Y68" s="3">
        <f t="shared" si="28"/>
        <v>0.41</v>
      </c>
      <c r="Z68" s="3">
        <f t="shared" si="28"/>
        <v>0.6958333333333333</v>
      </c>
      <c r="AA68" s="3">
        <f t="shared" si="28"/>
        <v>0.69</v>
      </c>
      <c r="AB68" s="3">
        <f t="shared" si="28"/>
        <v>0.49111111111111111</v>
      </c>
      <c r="AC68" s="3">
        <f>+AC67/AC66</f>
        <v>0.76462962962962966</v>
      </c>
      <c r="AD68" s="3">
        <f>+AD67/AD66</f>
        <v>0.9292225201072386</v>
      </c>
      <c r="AE68" s="3">
        <f>+AE67/AE66</f>
        <v>0.59743589743589742</v>
      </c>
      <c r="AF68" s="3">
        <f>+AF67/AF66</f>
        <v>0.87317073170731707</v>
      </c>
      <c r="AG68" s="3">
        <f>+AG67/AG66</f>
        <v>0.63924402445803219</v>
      </c>
      <c r="AH68" s="3">
        <f t="shared" ref="AH68:AQ68" si="29">+AH67/AH66</f>
        <v>0.81105668299510147</v>
      </c>
      <c r="AI68" s="3">
        <f t="shared" si="29"/>
        <v>0.91203703703703709</v>
      </c>
      <c r="AJ68" s="3">
        <f t="shared" si="29"/>
        <v>0.72254901960784312</v>
      </c>
      <c r="AK68" s="6">
        <f t="shared" si="29"/>
        <v>0.602356631810677</v>
      </c>
      <c r="AL68" s="3">
        <f t="shared" si="29"/>
        <v>0.57788276465441824</v>
      </c>
      <c r="AM68" s="3">
        <f t="shared" si="29"/>
        <v>0.60362145541510071</v>
      </c>
      <c r="AN68" s="3">
        <f t="shared" si="29"/>
        <v>0.70626750435243357</v>
      </c>
      <c r="AO68" s="3">
        <f t="shared" si="29"/>
        <v>0.73345652173913045</v>
      </c>
      <c r="AP68" s="3">
        <f t="shared" si="29"/>
        <v>0.57817677303517512</v>
      </c>
      <c r="AQ68" s="3">
        <f t="shared" si="29"/>
        <v>0.5934314835787089</v>
      </c>
    </row>
    <row r="69" spans="1:45" x14ac:dyDescent="0.2">
      <c r="A69" s="20"/>
      <c r="B69" s="39">
        <v>1</v>
      </c>
      <c r="C69" s="39">
        <v>1</v>
      </c>
      <c r="D69" s="39">
        <v>1</v>
      </c>
      <c r="E69" s="39"/>
      <c r="F69" s="39">
        <v>1</v>
      </c>
      <c r="G69" s="39">
        <v>1</v>
      </c>
      <c r="H69" s="39">
        <v>1</v>
      </c>
      <c r="I69" s="39">
        <v>1</v>
      </c>
      <c r="J69" s="39"/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>
        <v>1</v>
      </c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>
        <v>1</v>
      </c>
      <c r="AH69" s="39">
        <v>1</v>
      </c>
      <c r="AI69" s="39">
        <v>1</v>
      </c>
      <c r="AJ69" s="39">
        <v>1</v>
      </c>
      <c r="AK69" s="66">
        <f>SUM(B69:AJ69)</f>
        <v>33</v>
      </c>
      <c r="AL69" s="20">
        <f>+AC69+S69+X69+AD69+AF69+U69+AI69</f>
        <v>7</v>
      </c>
      <c r="AM69" s="20">
        <f>+D69+I69+O69+R69+T69+Z69+E69+Y69+AG69+F69</f>
        <v>9</v>
      </c>
      <c r="AN69">
        <f>+B69+Q69+AE69+AJ69+AH69+L69+M69+W69+V69+AB69+N69+K69+H69+G69+J69+P69+C69+AA69</f>
        <v>17</v>
      </c>
      <c r="AO69" s="20">
        <f>+R69+W69+Z69+AJ69+O69+I69+F69</f>
        <v>7</v>
      </c>
      <c r="AP69" s="20">
        <f>+B69+D69+K69+L69+M69+Q69+S69+T69+X69+AC69+AD69+AE69+AF69+AH69+U69+E69+AI69+Y69+N69+G69+AG69+AA69</f>
        <v>21</v>
      </c>
      <c r="AQ69" s="20">
        <f>+AB69+V69+H69+J69+P69+C69</f>
        <v>5</v>
      </c>
    </row>
    <row r="70" spans="1:45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54"/>
      <c r="AL70" s="20"/>
      <c r="AM70" s="20"/>
      <c r="AN70" s="20"/>
      <c r="AO70" s="20"/>
      <c r="AP70" s="20"/>
      <c r="AQ70" s="20"/>
    </row>
    <row r="71" spans="1:45" x14ac:dyDescent="0.2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5"/>
    </row>
    <row r="72" spans="1:45" x14ac:dyDescent="0.2">
      <c r="A72" t="s">
        <v>1</v>
      </c>
      <c r="B72" s="38">
        <v>558</v>
      </c>
      <c r="C72" s="38">
        <v>651</v>
      </c>
      <c r="D72" s="38">
        <v>1643</v>
      </c>
      <c r="E72" s="38"/>
      <c r="F72" s="38">
        <v>3379</v>
      </c>
      <c r="G72" s="38">
        <v>527</v>
      </c>
      <c r="H72" s="38">
        <v>707</v>
      </c>
      <c r="I72" s="38">
        <f>2460/30*31</f>
        <v>2542</v>
      </c>
      <c r="J72" s="38"/>
      <c r="K72" s="38">
        <v>1787</v>
      </c>
      <c r="L72" s="38">
        <v>1178</v>
      </c>
      <c r="M72" s="38">
        <v>837</v>
      </c>
      <c r="N72" s="38">
        <f>420/30*31</f>
        <v>434</v>
      </c>
      <c r="O72" s="38">
        <v>2232</v>
      </c>
      <c r="P72" s="38">
        <v>434</v>
      </c>
      <c r="Q72" s="38">
        <v>744</v>
      </c>
      <c r="R72" s="38">
        <v>3038</v>
      </c>
      <c r="S72" s="38">
        <v>8246</v>
      </c>
      <c r="T72" s="38">
        <f>3330/30*31</f>
        <v>3441</v>
      </c>
      <c r="U72" s="38">
        <f>196*31</f>
        <v>6076</v>
      </c>
      <c r="V72" s="38">
        <v>1426</v>
      </c>
      <c r="W72" s="38">
        <v>750</v>
      </c>
      <c r="X72" s="38">
        <v>14384</v>
      </c>
      <c r="Y72" s="38">
        <f>1740/30*31</f>
        <v>1798</v>
      </c>
      <c r="Z72" s="38">
        <f>1200/30*31</f>
        <v>1240</v>
      </c>
      <c r="AA72" s="38">
        <f>600/30*31</f>
        <v>620</v>
      </c>
      <c r="AB72" s="38">
        <v>465</v>
      </c>
      <c r="AC72" s="38">
        <v>5580</v>
      </c>
      <c r="AD72" s="38">
        <v>12183</v>
      </c>
      <c r="AE72" s="38">
        <v>403</v>
      </c>
      <c r="AF72" s="38">
        <v>7626</v>
      </c>
      <c r="AG72" s="38">
        <v>1859</v>
      </c>
      <c r="AH72" s="38">
        <v>1550</v>
      </c>
      <c r="AI72" s="38">
        <v>5580</v>
      </c>
      <c r="AJ72" s="38">
        <f>1020/30*31</f>
        <v>1054</v>
      </c>
      <c r="AK72" s="72">
        <f>SUM(B72:AJ72)</f>
        <v>94972</v>
      </c>
      <c r="AL72">
        <f>+AC72+S72+X72+AD72+AF72+U72+AI72</f>
        <v>59675</v>
      </c>
      <c r="AM72" s="20">
        <f>+D72+I72+O72+R72+T72+Z72+E72+Y72+AG72+F72</f>
        <v>21172</v>
      </c>
      <c r="AN72">
        <f>+B72+Q72+AE72+AJ72+AH72+L72+M72+W72+V72+AB72+N72+K72+H72+G72+J72+P72+C72+AA72</f>
        <v>14125</v>
      </c>
      <c r="AO72">
        <f>+R72+W72+Z72+AJ72+O72+I72+F72</f>
        <v>14235</v>
      </c>
      <c r="AP72" s="20">
        <f>+B72+D72+K72+L72+M72+Q72+S72+T72+X72+AC72+AD72+AE72+AF72+AH72+U72+E72+AI72+Y72+N72+G72+AG72+AA72</f>
        <v>77054</v>
      </c>
      <c r="AQ72" s="20">
        <f>+AB72+V72+H72+J72+P72+C72</f>
        <v>3683</v>
      </c>
      <c r="AR72">
        <f>+AL72+AM72+AN72</f>
        <v>94972</v>
      </c>
      <c r="AS72">
        <f>+AO72+AP72+AQ72</f>
        <v>94972</v>
      </c>
    </row>
    <row r="73" spans="1:45" x14ac:dyDescent="0.2">
      <c r="A73" t="s">
        <v>2</v>
      </c>
      <c r="B73" s="38">
        <v>424</v>
      </c>
      <c r="C73" s="38">
        <v>272</v>
      </c>
      <c r="D73" s="38">
        <v>624</v>
      </c>
      <c r="E73" s="38"/>
      <c r="F73" s="38">
        <v>2602</v>
      </c>
      <c r="G73" s="38">
        <v>359</v>
      </c>
      <c r="H73" s="38">
        <v>322</v>
      </c>
      <c r="I73" s="38">
        <v>1840</v>
      </c>
      <c r="J73" s="38"/>
      <c r="K73" s="38">
        <v>1662</v>
      </c>
      <c r="L73" s="38">
        <v>987</v>
      </c>
      <c r="M73" s="38">
        <v>631</v>
      </c>
      <c r="N73" s="38">
        <v>270</v>
      </c>
      <c r="O73" s="38">
        <v>1533</v>
      </c>
      <c r="P73" s="38">
        <v>331</v>
      </c>
      <c r="Q73" s="38">
        <v>437</v>
      </c>
      <c r="R73" s="38">
        <v>2792</v>
      </c>
      <c r="S73" s="38">
        <v>816</v>
      </c>
      <c r="T73" s="38">
        <v>1428</v>
      </c>
      <c r="U73" s="38">
        <v>1744</v>
      </c>
      <c r="V73" s="38">
        <v>850</v>
      </c>
      <c r="W73" s="38">
        <f>+W72*0.9</f>
        <v>675</v>
      </c>
      <c r="X73" s="38">
        <v>4603</v>
      </c>
      <c r="Y73" s="38">
        <v>755</v>
      </c>
      <c r="Z73" s="38">
        <v>976</v>
      </c>
      <c r="AA73" s="38">
        <f>+AA72*0.45</f>
        <v>279</v>
      </c>
      <c r="AB73" s="38">
        <v>277</v>
      </c>
      <c r="AC73" s="38">
        <v>3737</v>
      </c>
      <c r="AD73" s="38">
        <v>10734</v>
      </c>
      <c r="AE73" s="38">
        <v>275</v>
      </c>
      <c r="AF73" s="38">
        <v>6738</v>
      </c>
      <c r="AG73" s="38">
        <v>1359</v>
      </c>
      <c r="AH73" s="38">
        <v>1132</v>
      </c>
      <c r="AI73" s="38">
        <v>5048</v>
      </c>
      <c r="AJ73" s="38">
        <v>837</v>
      </c>
      <c r="AK73" s="72">
        <f>SUM(B73:AJ73)</f>
        <v>57349</v>
      </c>
      <c r="AL73">
        <f>+AC73+S73+X73+AD73+AF73+U73+AI73</f>
        <v>33420</v>
      </c>
      <c r="AM73" s="48">
        <f>+D73+I73+O73+R73+T73+Z73+E73+Y73+AG73+F73</f>
        <v>13909</v>
      </c>
      <c r="AN73">
        <f>+B73+Q73+AE73+AJ73+AH73+L73+M73+W73+V73+AB73+N73+K73+H73+G73+J73+P73+C73+AA73</f>
        <v>10020</v>
      </c>
      <c r="AO73">
        <f>+R73+W73+Z73+AJ73+O73+I73+F73</f>
        <v>11255</v>
      </c>
      <c r="AP73" s="20">
        <f>+B73+D73+K73+L73+M73+Q73+S73+T73+X73+AC73+AD73+AE73+AF73+AH73+U73+E73+AI73+Y73+N73+G73+AG73+AA73</f>
        <v>44042</v>
      </c>
      <c r="AQ73" s="20">
        <f>+AB73+V73+H73+J73+P73+C73</f>
        <v>2052</v>
      </c>
      <c r="AR73">
        <f>+AL73+AM73+AN73</f>
        <v>57349</v>
      </c>
      <c r="AS73">
        <f>+AO73+AP73+AQ73</f>
        <v>57349</v>
      </c>
    </row>
    <row r="74" spans="1:45" x14ac:dyDescent="0.2">
      <c r="A74" t="s">
        <v>4</v>
      </c>
      <c r="B74" s="3">
        <f>+B73/B72</f>
        <v>0.75985663082437271</v>
      </c>
      <c r="C74" s="3">
        <f>+C73/C72</f>
        <v>0.41781874039938555</v>
      </c>
      <c r="D74" s="3">
        <f>+D73/D72</f>
        <v>0.37979306147291542</v>
      </c>
      <c r="E74" s="3"/>
      <c r="F74" s="3">
        <f t="shared" ref="F74:AQ74" si="30">+F73/F72</f>
        <v>0.77005031074282337</v>
      </c>
      <c r="G74" s="3">
        <f t="shared" si="30"/>
        <v>0.68121442125237197</v>
      </c>
      <c r="H74" s="3">
        <f t="shared" si="30"/>
        <v>0.45544554455445546</v>
      </c>
      <c r="I74" s="3">
        <f t="shared" si="30"/>
        <v>0.72383949645948076</v>
      </c>
      <c r="J74" s="3"/>
      <c r="K74" s="3">
        <f t="shared" si="30"/>
        <v>0.93005036373810857</v>
      </c>
      <c r="L74" s="3">
        <f t="shared" si="30"/>
        <v>0.83786078098471983</v>
      </c>
      <c r="M74" s="3">
        <f t="shared" si="30"/>
        <v>0.7538829151732378</v>
      </c>
      <c r="N74" s="3">
        <f t="shared" si="30"/>
        <v>0.62211981566820274</v>
      </c>
      <c r="O74" s="3">
        <f t="shared" si="30"/>
        <v>0.68682795698924726</v>
      </c>
      <c r="P74" s="3">
        <f t="shared" si="30"/>
        <v>0.76267281105990781</v>
      </c>
      <c r="Q74" s="3">
        <f t="shared" si="30"/>
        <v>0.5873655913978495</v>
      </c>
      <c r="R74" s="3">
        <f t="shared" si="30"/>
        <v>0.91902567478604347</v>
      </c>
      <c r="S74" s="3">
        <f t="shared" si="30"/>
        <v>9.8957070094591315E-2</v>
      </c>
      <c r="T74" s="3">
        <f t="shared" si="30"/>
        <v>0.41499564080209239</v>
      </c>
      <c r="U74" s="3">
        <f t="shared" si="30"/>
        <v>0.28703094140882157</v>
      </c>
      <c r="V74" s="3">
        <f t="shared" si="30"/>
        <v>0.59607293127629735</v>
      </c>
      <c r="W74" s="3">
        <f t="shared" si="30"/>
        <v>0.9</v>
      </c>
      <c r="X74" s="3">
        <f t="shared" si="30"/>
        <v>0.32000834260289213</v>
      </c>
      <c r="Y74" s="3">
        <f t="shared" si="30"/>
        <v>0.41991101223581756</v>
      </c>
      <c r="Z74" s="3">
        <f t="shared" si="30"/>
        <v>0.7870967741935484</v>
      </c>
      <c r="AA74" s="3">
        <f t="shared" si="30"/>
        <v>0.45</v>
      </c>
      <c r="AB74" s="3">
        <f t="shared" si="30"/>
        <v>0.5956989247311828</v>
      </c>
      <c r="AC74" s="3">
        <f t="shared" si="30"/>
        <v>0.66971326164874556</v>
      </c>
      <c r="AD74" s="3">
        <f t="shared" si="30"/>
        <v>0.88106377739473041</v>
      </c>
      <c r="AE74" s="3">
        <f t="shared" si="30"/>
        <v>0.68238213399503722</v>
      </c>
      <c r="AF74" s="3">
        <f t="shared" si="30"/>
        <v>0.88355625491738787</v>
      </c>
      <c r="AG74" s="3">
        <f t="shared" si="30"/>
        <v>0.73103819257665414</v>
      </c>
      <c r="AH74" s="3">
        <f t="shared" si="30"/>
        <v>0.73032258064516131</v>
      </c>
      <c r="AI74" s="3">
        <f t="shared" si="30"/>
        <v>0.90465949820788527</v>
      </c>
      <c r="AJ74" s="3">
        <f t="shared" si="30"/>
        <v>0.79411764705882348</v>
      </c>
      <c r="AK74" s="6">
        <f t="shared" si="30"/>
        <v>0.60385166154234937</v>
      </c>
      <c r="AL74" s="3">
        <f t="shared" si="30"/>
        <v>0.56003351487222452</v>
      </c>
      <c r="AM74" s="3">
        <f t="shared" si="30"/>
        <v>0.65695257887776304</v>
      </c>
      <c r="AN74" s="3">
        <f t="shared" si="30"/>
        <v>0.70938053097345133</v>
      </c>
      <c r="AO74" s="3">
        <f t="shared" si="30"/>
        <v>0.79065683175272217</v>
      </c>
      <c r="AP74" s="3">
        <f t="shared" si="30"/>
        <v>0.57157318244348121</v>
      </c>
      <c r="AQ74" s="3">
        <f t="shared" si="30"/>
        <v>0.55715449361933211</v>
      </c>
    </row>
    <row r="75" spans="1:45" x14ac:dyDescent="0.2">
      <c r="A75" s="20"/>
      <c r="B75" s="20">
        <v>1</v>
      </c>
      <c r="C75" s="20">
        <v>1</v>
      </c>
      <c r="D75" s="20">
        <v>1</v>
      </c>
      <c r="E75" s="20"/>
      <c r="F75" s="20">
        <v>1</v>
      </c>
      <c r="G75" s="20">
        <v>1</v>
      </c>
      <c r="H75" s="20">
        <v>1</v>
      </c>
      <c r="I75" s="20">
        <v>1</v>
      </c>
      <c r="J75" s="20"/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20">
        <v>1</v>
      </c>
      <c r="S75" s="44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>
        <v>1</v>
      </c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20">
        <v>1</v>
      </c>
      <c r="AJ75" s="20">
        <v>1</v>
      </c>
      <c r="AK75" s="72">
        <f>SUM(B75:AJ75)</f>
        <v>33</v>
      </c>
      <c r="AL75" s="20">
        <f>+AC75+S75+X75+AD75+AF75+U75+AI75</f>
        <v>7</v>
      </c>
      <c r="AM75" s="20">
        <f>+D75+I75+O75+R75+T75+Z75+E75+Y75+AG75+F75</f>
        <v>9</v>
      </c>
      <c r="AN75">
        <f>+B75+Q75+AE75+AJ75+AH75+L75+M75+W75+V75+AB75+N75+K75+H75+G75+J75+P75+C75+AA75</f>
        <v>17</v>
      </c>
      <c r="AO75" s="20">
        <f>+R75+W75+Z75+AJ75+O75+I75+F75</f>
        <v>7</v>
      </c>
      <c r="AP75" s="20">
        <f>+B75+D75+K75+L75+M75+Q75+S75+T75+X75+AC75+AD75+AE75+AF75+AH75+U75+E75+AI75+Y75+N75+G75+AG75+AA75</f>
        <v>21</v>
      </c>
      <c r="AQ75" s="20">
        <f>+AB75+V75+H75+J75+P75+C75</f>
        <v>5</v>
      </c>
    </row>
    <row r="76" spans="1:45" x14ac:dyDescent="0.2">
      <c r="A76" t="s">
        <v>61</v>
      </c>
      <c r="AK76">
        <f>+AK6+AK12+AK18+AK24+AK30+AK36+AK42+AK48+AK54+AK60+AK66+AK72</f>
        <v>1063633</v>
      </c>
      <c r="AL76">
        <f>+AL6+AL12+AL18+AL24+AL30+AL36+AL42+AL48+AL54+AL60+AL66+AL72</f>
        <v>683261</v>
      </c>
      <c r="AM76">
        <f>+AM6+AM12+AM18+AM24+AM30+AM36+AM42+AM48+AM54+AM60+AM66+AM72</f>
        <v>233596</v>
      </c>
      <c r="AN76">
        <f>+AN6+AN12+AN18+AN24+AN30+AN36+AN42+AN48+AN54+AN60+AN66+AN72</f>
        <v>146776</v>
      </c>
      <c r="AO76">
        <f t="shared" ref="AL76:AQ77" si="31">+AO6+AO12+AO18+AO24+AO30+AO36+AO42+AO48+AO54+AO60+AO66+AO72</f>
        <v>155539</v>
      </c>
      <c r="AP76">
        <f t="shared" si="31"/>
        <v>868492</v>
      </c>
      <c r="AQ76">
        <f t="shared" si="31"/>
        <v>39602</v>
      </c>
    </row>
    <row r="77" spans="1:45" x14ac:dyDescent="0.2">
      <c r="F77">
        <f>+F66+F60+F54+F6+F12+F18+F24+F30+F36+F42+F48+F71</f>
        <v>36406</v>
      </c>
      <c r="H77">
        <f>+H66+H60+H54+H6+H12+H18+H24+H30+H36+H42+H48+H71</f>
        <v>5094</v>
      </c>
      <c r="I77">
        <f>+I66+I60+I54+I6+I12+I18+I24+I30+I36+I42+I48+I72</f>
        <v>27224</v>
      </c>
      <c r="O77">
        <f>+O66+O60+O54+O6+O12+O18+O24+O30+O36+O42+O48+O72</f>
        <v>21744</v>
      </c>
      <c r="R77">
        <f>+R66+R60+R54+R6+R12+R18+R24+R30+R36+R42+R48+R72</f>
        <v>35630</v>
      </c>
      <c r="S77">
        <f t="shared" ref="S77:U78" si="32">+S66+S60+S54+S6+S12+S18+S24+S30+S36+S42+S48+S71+S72</f>
        <v>95366</v>
      </c>
      <c r="T77">
        <f t="shared" si="32"/>
        <v>38406</v>
      </c>
      <c r="U77">
        <f t="shared" si="32"/>
        <v>54376</v>
      </c>
      <c r="X77">
        <f>+X66+X60+X54+X6+X12+X18+X24+X30+X36+X42+X48+X71+X72</f>
        <v>169360</v>
      </c>
      <c r="Z77">
        <f>+Z66+Z60+Z54+Z6+Z12+Z18+Z24+Z30+Z36+Z42+Z48+Z71</f>
        <v>11480</v>
      </c>
      <c r="AC77">
        <f t="shared" ref="AC77:AF78" si="33">+AC66+AC60+AC54+AC6+AC12+AC18+AC24+AC30+AC36+AC42+AC48+AC71</f>
        <v>60120</v>
      </c>
      <c r="AD77">
        <f>+AD66+AD60+AD54+AD6+AD12+AD18+AD24+AD30+AD36+AD42+AD48+AD72</f>
        <v>142845</v>
      </c>
      <c r="AE77">
        <f t="shared" si="33"/>
        <v>4342</v>
      </c>
      <c r="AF77">
        <f t="shared" si="33"/>
        <v>82288</v>
      </c>
      <c r="AI77">
        <f>+AI66+AI60+AI54+AI6+AI12+AI18+AI24+AI30+AI36+AI42+AI48+AI71</f>
        <v>60120</v>
      </c>
      <c r="AJ77">
        <f>+AJ66+AJ60+AJ54+AJ6+AJ12+AJ18+AJ24+AJ30+AJ36+AJ42+AJ48+AJ72</f>
        <v>10336</v>
      </c>
      <c r="AK77">
        <f>+AK7+AK13+AK19+AK25+AK31+AK37+AK43+AK49+AK55+AK61+AK67+AK73</f>
        <v>624564.42500000005</v>
      </c>
      <c r="AL77">
        <f t="shared" si="31"/>
        <v>389981.32900000003</v>
      </c>
      <c r="AM77">
        <f t="shared" si="31"/>
        <v>137346.6</v>
      </c>
      <c r="AN77">
        <f t="shared" si="31"/>
        <v>97236.495999999999</v>
      </c>
      <c r="AO77">
        <f t="shared" si="31"/>
        <v>107306.7</v>
      </c>
      <c r="AP77">
        <f t="shared" si="31"/>
        <v>497219.72500000003</v>
      </c>
      <c r="AQ77">
        <f t="shared" si="31"/>
        <v>20038</v>
      </c>
    </row>
    <row r="78" spans="1:45" x14ac:dyDescent="0.2">
      <c r="F78">
        <f>+F67+F61+F55+F7+F13+F19+F25+F31+F37+F43+F49+F72</f>
        <v>26431.200000000001</v>
      </c>
      <c r="H78">
        <f>+H67+H61+H55+H7+H13+H19+H25+H31+H37+H43+H49+H72</f>
        <v>2495</v>
      </c>
      <c r="I78">
        <f>+I67+I61+I55+I7+I13+I19+I25+I31+I37+I43+I49+I73</f>
        <v>14753</v>
      </c>
      <c r="O78">
        <f>+O67+O61+O55+O7+O13+O19+O25+O31+O37+O43+O49+O73</f>
        <v>12114</v>
      </c>
      <c r="R78">
        <f>+R67+R61+R55+R7+R13+R19+R25+R31+R37+R43+R49+R73</f>
        <v>31665</v>
      </c>
      <c r="S78">
        <f t="shared" si="32"/>
        <v>18429.322</v>
      </c>
      <c r="T78">
        <f t="shared" si="32"/>
        <v>17414</v>
      </c>
      <c r="U78">
        <f t="shared" si="32"/>
        <v>26944</v>
      </c>
      <c r="X78" s="71">
        <f>+X67+X61+X55+X7+X13+X19+X25+X31+X37+X43+X49+X73</f>
        <v>66799</v>
      </c>
      <c r="Z78">
        <f>+Z67+Z61+Z55+Z7+Z13+Z19+Z25+Z31+Z37+Z43+Z49+Z72</f>
        <v>9640</v>
      </c>
      <c r="AC78">
        <f t="shared" si="33"/>
        <v>43925</v>
      </c>
      <c r="AD78">
        <f>+AD67+AD61+AD55+AD7+AD13+AD19+AD25+AD31+AD37+AD43+AD49+AD73</f>
        <v>122124.007</v>
      </c>
      <c r="AE78">
        <f t="shared" si="33"/>
        <v>2951</v>
      </c>
      <c r="AF78">
        <f t="shared" si="33"/>
        <v>73442</v>
      </c>
      <c r="AI78">
        <f>+AI67+AI61+AI55+AI7+AI13+AI19+AI25+AI31+AI37+AI43+AI49+AI72</f>
        <v>55903</v>
      </c>
      <c r="AJ78">
        <f>+AJ67+AJ61+AJ55+AJ7+AJ13+AJ19+AJ25+AJ31+AJ37+AJ43+AJ49+AJ73</f>
        <v>7102</v>
      </c>
      <c r="AK78" s="6">
        <f t="shared" ref="AK78:AQ78" si="34">+AK77/AK76</f>
        <v>0.58719917960424328</v>
      </c>
      <c r="AL78" s="6">
        <f t="shared" si="34"/>
        <v>0.57076480144483588</v>
      </c>
      <c r="AM78" s="6">
        <f t="shared" si="34"/>
        <v>0.58796640353430707</v>
      </c>
      <c r="AN78" s="6">
        <f t="shared" si="34"/>
        <v>0.66248225867989319</v>
      </c>
      <c r="AO78" s="6">
        <f t="shared" si="34"/>
        <v>0.68990221102103011</v>
      </c>
      <c r="AP78" s="6">
        <f t="shared" si="34"/>
        <v>0.57250927469683088</v>
      </c>
      <c r="AQ78" s="6">
        <f t="shared" si="34"/>
        <v>0.50598454623503863</v>
      </c>
    </row>
    <row r="79" spans="1:45" x14ac:dyDescent="0.2">
      <c r="F79">
        <f>+F78/F77</f>
        <v>0.72601219579190246</v>
      </c>
      <c r="H79">
        <f>+H78/H77</f>
        <v>0.48979191205339617</v>
      </c>
      <c r="I79">
        <f>+I78/I77</f>
        <v>0.54191154863355862</v>
      </c>
      <c r="O79">
        <f>+O78/O77</f>
        <v>0.55711920529801329</v>
      </c>
      <c r="R79">
        <f>+R78/R77</f>
        <v>0.88871737300028064</v>
      </c>
      <c r="S79">
        <f>+S78/S77</f>
        <v>0.19324834846800748</v>
      </c>
      <c r="T79">
        <f>+T78/T77</f>
        <v>0.4534187366557309</v>
      </c>
      <c r="U79">
        <f>+U78/U77</f>
        <v>0.49551272620273651</v>
      </c>
      <c r="X79">
        <f>+X78/X77</f>
        <v>0.39442017005196034</v>
      </c>
      <c r="Z79">
        <f>+Z78/Z77</f>
        <v>0.83972125435540068</v>
      </c>
      <c r="AC79">
        <f>+AC78/AC77</f>
        <v>0.73062208915502325</v>
      </c>
      <c r="AD79">
        <f>+AD78/AD77</f>
        <v>0.85494071896111168</v>
      </c>
      <c r="AE79">
        <f>+AE78/AE77</f>
        <v>0.67964071856287422</v>
      </c>
      <c r="AF79">
        <f>+AF78/AF77</f>
        <v>0.89249951390239157</v>
      </c>
      <c r="AI79">
        <f>+AI78/AI77</f>
        <v>0.92985695276114433</v>
      </c>
      <c r="AJ79">
        <f>+AJ78/AJ77</f>
        <v>0.68711300309597523</v>
      </c>
    </row>
    <row r="81" spans="2:43" x14ac:dyDescent="0.2">
      <c r="AK81">
        <f>+AK6+AK12+AK18+AK24+AK30</f>
        <v>459387</v>
      </c>
      <c r="AL81">
        <f t="shared" ref="AL81:AQ81" si="35">+AL6+AL12+AL18+AL24</f>
        <v>234111</v>
      </c>
      <c r="AM81">
        <f t="shared" si="35"/>
        <v>82152</v>
      </c>
      <c r="AN81">
        <f t="shared" si="35"/>
        <v>49822</v>
      </c>
      <c r="AO81">
        <f t="shared" si="35"/>
        <v>55396</v>
      </c>
      <c r="AP81">
        <f t="shared" si="35"/>
        <v>298728</v>
      </c>
      <c r="AQ81">
        <f t="shared" si="35"/>
        <v>11961</v>
      </c>
    </row>
    <row r="82" spans="2:43" x14ac:dyDescent="0.2">
      <c r="B82" s="71">
        <f>+B7+B13+B19+B25+B31+B37+B43+B49+B55+B61+B67+B73</f>
        <v>2518</v>
      </c>
      <c r="C82" s="71">
        <f t="shared" ref="C82:AJ82" si="36">+C7+C13+C19+C25+C31+C37+C43+C49+C55+C61+C67+C73</f>
        <v>3395</v>
      </c>
      <c r="D82" s="71">
        <f t="shared" si="36"/>
        <v>6750</v>
      </c>
      <c r="E82" s="71">
        <f t="shared" si="36"/>
        <v>0</v>
      </c>
      <c r="F82" s="71">
        <f t="shared" si="36"/>
        <v>25654.2</v>
      </c>
      <c r="G82" s="71">
        <f t="shared" si="36"/>
        <v>4670</v>
      </c>
      <c r="H82" s="71">
        <f t="shared" si="36"/>
        <v>2110</v>
      </c>
      <c r="I82" s="71">
        <f t="shared" si="36"/>
        <v>14753</v>
      </c>
      <c r="J82" s="71">
        <f t="shared" si="36"/>
        <v>0</v>
      </c>
      <c r="K82" s="71">
        <f t="shared" si="36"/>
        <v>19544</v>
      </c>
      <c r="L82" s="71">
        <f t="shared" si="36"/>
        <v>10703</v>
      </c>
      <c r="M82" s="71">
        <f t="shared" si="36"/>
        <v>6658</v>
      </c>
      <c r="N82" s="71">
        <f t="shared" si="36"/>
        <v>1420.9960000000001</v>
      </c>
      <c r="O82" s="71">
        <f t="shared" si="36"/>
        <v>12114</v>
      </c>
      <c r="P82" s="71">
        <f t="shared" si="36"/>
        <v>2613</v>
      </c>
      <c r="Q82" s="71">
        <f t="shared" si="36"/>
        <v>1775</v>
      </c>
      <c r="R82" s="71">
        <f t="shared" si="36"/>
        <v>31665</v>
      </c>
      <c r="S82" s="71">
        <f t="shared" si="36"/>
        <v>10183.322</v>
      </c>
      <c r="T82" s="71">
        <f t="shared" si="36"/>
        <v>13973</v>
      </c>
      <c r="U82" s="71">
        <f t="shared" si="36"/>
        <v>20868</v>
      </c>
      <c r="V82" s="71">
        <f t="shared" si="36"/>
        <v>8882</v>
      </c>
      <c r="W82" s="71">
        <f t="shared" si="36"/>
        <v>6642.5</v>
      </c>
      <c r="X82" s="71">
        <f t="shared" si="36"/>
        <v>66799</v>
      </c>
      <c r="Y82" s="71">
        <f t="shared" si="36"/>
        <v>9933.4</v>
      </c>
      <c r="Z82" s="71">
        <f t="shared" si="36"/>
        <v>9376</v>
      </c>
      <c r="AA82" s="71">
        <f t="shared" si="36"/>
        <v>1735</v>
      </c>
      <c r="AB82" s="71">
        <f t="shared" si="36"/>
        <v>3038</v>
      </c>
      <c r="AC82" s="71">
        <f t="shared" si="36"/>
        <v>42082</v>
      </c>
      <c r="AD82" s="71">
        <f t="shared" si="36"/>
        <v>122124.007</v>
      </c>
      <c r="AE82" s="71">
        <f t="shared" si="36"/>
        <v>2823</v>
      </c>
      <c r="AF82" s="71">
        <f t="shared" si="36"/>
        <v>72554</v>
      </c>
      <c r="AG82" s="71">
        <f t="shared" si="36"/>
        <v>13128</v>
      </c>
      <c r="AH82" s="71">
        <f t="shared" si="36"/>
        <v>11607</v>
      </c>
      <c r="AI82" s="71">
        <f t="shared" si="36"/>
        <v>55371</v>
      </c>
      <c r="AJ82" s="71">
        <f t="shared" si="36"/>
        <v>7102</v>
      </c>
      <c r="AK82">
        <f>+AK7+AK13+AK19+AK25+AK31</f>
        <v>302665.32500000001</v>
      </c>
      <c r="AL82">
        <f t="shared" ref="AL82:AQ82" si="37">+AL7+AL13+AL19+AL25</f>
        <v>157798.329</v>
      </c>
      <c r="AM82">
        <f t="shared" si="37"/>
        <v>58838</v>
      </c>
      <c r="AN82">
        <f t="shared" si="37"/>
        <v>36934.995999999999</v>
      </c>
      <c r="AO82">
        <f t="shared" si="37"/>
        <v>43861</v>
      </c>
      <c r="AP82">
        <f t="shared" si="37"/>
        <v>202589.32500000001</v>
      </c>
      <c r="AQ82">
        <f t="shared" si="37"/>
        <v>7121</v>
      </c>
    </row>
    <row r="83" spans="2:43" x14ac:dyDescent="0.2">
      <c r="AK83">
        <f>+AK82/AK81</f>
        <v>0.65884608184384841</v>
      </c>
      <c r="AL83">
        <f t="shared" ref="AL83:AQ83" si="38">+AL82/AL81</f>
        <v>0.6740321001576175</v>
      </c>
      <c r="AM83">
        <f t="shared" si="38"/>
        <v>0.71620897847891718</v>
      </c>
      <c r="AN83">
        <f t="shared" si="38"/>
        <v>0.74133908715025487</v>
      </c>
      <c r="AO83">
        <f t="shared" si="38"/>
        <v>0.7917719690952415</v>
      </c>
      <c r="AP83">
        <f t="shared" si="38"/>
        <v>0.67817320438659923</v>
      </c>
      <c r="AQ83">
        <f t="shared" si="38"/>
        <v>0.59535155923417771</v>
      </c>
    </row>
    <row r="84" spans="2:43" x14ac:dyDescent="0.2">
      <c r="AK84">
        <f>+AK83/AK76</f>
        <v>6.1942989907594856E-7</v>
      </c>
    </row>
  </sheetData>
  <pageMargins left="0.74803149606299213" right="0.4" top="0.53" bottom="0.47" header="0.51181102362204722" footer="0.51181102362204722"/>
  <pageSetup orientation="landscape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5"/>
  <sheetViews>
    <sheetView topLeftCell="A2" zoomScale="98" zoomScaleNormal="98" workbookViewId="0">
      <pane xSplit="1" ySplit="3" topLeftCell="O36" activePane="bottomRight" state="frozen"/>
      <selection activeCell="A2" sqref="A2"/>
      <selection pane="topRight" activeCell="B2" sqref="B2"/>
      <selection pane="bottomLeft" activeCell="A5" sqref="A5"/>
      <selection pane="bottomRight" activeCell="A39" sqref="A39"/>
    </sheetView>
  </sheetViews>
  <sheetFormatPr defaultRowHeight="12.75" x14ac:dyDescent="0.2"/>
  <cols>
    <col min="1" max="1" width="18.140625" customWidth="1"/>
    <col min="2" max="37" width="8" customWidth="1"/>
    <col min="38" max="38" width="9.85546875" customWidth="1"/>
    <col min="39" max="39" width="8.7109375" customWidth="1"/>
    <col min="40" max="40" width="8.42578125" customWidth="1"/>
    <col min="41" max="41" width="9.7109375" customWidth="1"/>
    <col min="42" max="42" width="8" customWidth="1"/>
    <col min="43" max="43" width="9.28515625" customWidth="1"/>
    <col min="44" max="44" width="8.7109375" customWidth="1"/>
  </cols>
  <sheetData>
    <row r="1" spans="1:47" x14ac:dyDescent="0.2">
      <c r="N1" t="s">
        <v>15</v>
      </c>
      <c r="V1" t="s">
        <v>15</v>
      </c>
      <c r="X1" t="s">
        <v>15</v>
      </c>
      <c r="Z1" t="s">
        <v>15</v>
      </c>
    </row>
    <row r="2" spans="1:47" x14ac:dyDescent="0.2">
      <c r="A2" t="s">
        <v>36</v>
      </c>
      <c r="B2" s="10"/>
      <c r="C2" s="10"/>
      <c r="D2" s="10"/>
      <c r="E2" s="11"/>
      <c r="F2" s="10"/>
      <c r="G2" s="11"/>
      <c r="H2" s="10"/>
      <c r="I2" s="11"/>
      <c r="J2" s="11"/>
      <c r="K2" s="11"/>
      <c r="L2" s="11"/>
      <c r="M2" s="10"/>
      <c r="N2" s="10"/>
      <c r="O2" s="11"/>
      <c r="P2" s="11"/>
      <c r="Q2" s="10"/>
      <c r="R2" s="11"/>
      <c r="S2" s="12"/>
      <c r="T2" s="11"/>
      <c r="U2" s="12"/>
      <c r="V2" s="10"/>
      <c r="W2" s="10"/>
      <c r="X2" s="12"/>
      <c r="Y2" s="12"/>
      <c r="Z2" s="11"/>
      <c r="AA2" s="11"/>
      <c r="AB2" s="10"/>
      <c r="AC2" s="12"/>
      <c r="AD2" s="12"/>
      <c r="AE2" s="10"/>
      <c r="AF2" s="10"/>
      <c r="AG2" s="12"/>
      <c r="AH2" s="12"/>
      <c r="AI2" s="10"/>
      <c r="AJ2" s="10"/>
      <c r="AK2" s="10"/>
    </row>
    <row r="3" spans="1:47" x14ac:dyDescent="0.2">
      <c r="A3" t="s">
        <v>37</v>
      </c>
      <c r="B3" s="14"/>
      <c r="C3" s="14"/>
      <c r="D3" s="14"/>
      <c r="E3" s="14"/>
      <c r="F3" s="13"/>
      <c r="G3" s="14"/>
      <c r="H3" s="15"/>
      <c r="I3" s="13"/>
      <c r="J3" s="13"/>
      <c r="K3" s="14"/>
      <c r="L3" s="14"/>
      <c r="M3" s="14"/>
      <c r="N3" s="14"/>
      <c r="O3" s="13"/>
      <c r="P3" s="13"/>
      <c r="Q3" s="14"/>
      <c r="R3" s="13"/>
      <c r="S3" s="14"/>
      <c r="T3" s="14"/>
      <c r="U3" s="14"/>
      <c r="V3" s="15"/>
      <c r="W3" s="13"/>
      <c r="X3" s="14"/>
      <c r="Y3" s="14"/>
      <c r="Z3" s="13"/>
      <c r="AA3" s="13"/>
      <c r="AB3" s="15"/>
      <c r="AC3" s="14"/>
      <c r="AD3" s="14"/>
      <c r="AE3" s="14"/>
      <c r="AF3" s="14"/>
      <c r="AG3" s="14"/>
      <c r="AH3" s="14"/>
      <c r="AI3" s="14"/>
      <c r="AJ3" s="14"/>
      <c r="AK3" s="13"/>
    </row>
    <row r="4" spans="1:47" ht="85.5" customHeight="1" x14ac:dyDescent="0.2">
      <c r="B4" s="7" t="s">
        <v>24</v>
      </c>
      <c r="C4" s="7" t="s">
        <v>179</v>
      </c>
      <c r="D4" s="7" t="s">
        <v>7</v>
      </c>
      <c r="E4" s="8" t="s">
        <v>39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157</v>
      </c>
      <c r="K4" s="8" t="s">
        <v>17</v>
      </c>
      <c r="L4" s="8" t="s">
        <v>18</v>
      </c>
      <c r="M4" s="7" t="s">
        <v>40</v>
      </c>
      <c r="N4" s="7" t="s">
        <v>26</v>
      </c>
      <c r="O4" s="8" t="s">
        <v>35</v>
      </c>
      <c r="P4" s="8" t="s">
        <v>159</v>
      </c>
      <c r="Q4" s="7" t="s">
        <v>8</v>
      </c>
      <c r="R4" s="8" t="s">
        <v>6</v>
      </c>
      <c r="S4" s="9" t="s">
        <v>16</v>
      </c>
      <c r="T4" s="8" t="s">
        <v>34</v>
      </c>
      <c r="U4" s="9" t="s">
        <v>55</v>
      </c>
      <c r="V4" s="7" t="s">
        <v>27</v>
      </c>
      <c r="W4" s="7" t="s">
        <v>38</v>
      </c>
      <c r="X4" s="9" t="s">
        <v>14</v>
      </c>
      <c r="Y4" s="9" t="s">
        <v>126</v>
      </c>
      <c r="Z4" s="8" t="s">
        <v>28</v>
      </c>
      <c r="AA4" s="8" t="s">
        <v>183</v>
      </c>
      <c r="AB4" s="7" t="s">
        <v>176</v>
      </c>
      <c r="AC4" s="9" t="s">
        <v>33</v>
      </c>
      <c r="AD4" s="9" t="s">
        <v>9</v>
      </c>
      <c r="AE4" s="7" t="s">
        <v>20</v>
      </c>
      <c r="AF4" s="7" t="s">
        <v>204</v>
      </c>
      <c r="AG4" s="9" t="s">
        <v>32</v>
      </c>
      <c r="AH4" s="9" t="s">
        <v>120</v>
      </c>
      <c r="AI4" s="7" t="s">
        <v>5</v>
      </c>
      <c r="AJ4" s="7" t="s">
        <v>68</v>
      </c>
      <c r="AK4" s="7" t="s">
        <v>11</v>
      </c>
      <c r="AL4" s="4" t="s">
        <v>13</v>
      </c>
      <c r="AM4" s="1" t="s">
        <v>21</v>
      </c>
      <c r="AN4" s="1" t="s">
        <v>22</v>
      </c>
      <c r="AO4" s="1" t="s">
        <v>23</v>
      </c>
      <c r="AP4" s="1" t="s">
        <v>43</v>
      </c>
      <c r="AQ4" s="1" t="s">
        <v>44</v>
      </c>
      <c r="AR4" s="1" t="s">
        <v>45</v>
      </c>
    </row>
    <row r="5" spans="1:47" x14ac:dyDescent="0.2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H5" s="1"/>
      <c r="AL5" s="5"/>
    </row>
    <row r="6" spans="1:47" x14ac:dyDescent="0.2">
      <c r="A6" t="s">
        <v>1</v>
      </c>
      <c r="B6" s="38">
        <f>23*31</f>
        <v>713</v>
      </c>
      <c r="C6" s="38">
        <f>40*31</f>
        <v>1240</v>
      </c>
      <c r="D6" s="38">
        <v>1643</v>
      </c>
      <c r="E6" s="38"/>
      <c r="F6" s="38">
        <v>3379</v>
      </c>
      <c r="G6" s="38">
        <v>527</v>
      </c>
      <c r="H6" s="38">
        <v>709</v>
      </c>
      <c r="I6" s="38">
        <v>2542</v>
      </c>
      <c r="J6" s="38"/>
      <c r="K6" s="38">
        <v>1787</v>
      </c>
      <c r="L6" s="38">
        <v>1178</v>
      </c>
      <c r="M6" s="38">
        <v>775</v>
      </c>
      <c r="N6" s="38">
        <v>434</v>
      </c>
      <c r="O6" s="38">
        <v>2232</v>
      </c>
      <c r="P6" s="38">
        <v>434</v>
      </c>
      <c r="Q6" s="38">
        <v>744</v>
      </c>
      <c r="R6" s="38">
        <v>3038</v>
      </c>
      <c r="S6" s="38">
        <v>8246</v>
      </c>
      <c r="T6" s="38">
        <v>3441</v>
      </c>
      <c r="U6" s="38">
        <v>6510</v>
      </c>
      <c r="V6" s="38">
        <v>1426</v>
      </c>
      <c r="W6" s="38">
        <v>775</v>
      </c>
      <c r="X6" s="38">
        <v>14384</v>
      </c>
      <c r="Y6" s="38">
        <v>1798</v>
      </c>
      <c r="Z6" s="38">
        <v>1240</v>
      </c>
      <c r="AA6" s="38">
        <v>620</v>
      </c>
      <c r="AB6" s="38">
        <v>465</v>
      </c>
      <c r="AC6" s="38">
        <v>5580</v>
      </c>
      <c r="AD6" s="38">
        <v>12183</v>
      </c>
      <c r="AE6" s="38">
        <v>403</v>
      </c>
      <c r="AF6" s="38"/>
      <c r="AG6" s="38">
        <v>7502</v>
      </c>
      <c r="AH6" s="38">
        <f>60*31</f>
        <v>1860</v>
      </c>
      <c r="AI6" s="38">
        <v>1550</v>
      </c>
      <c r="AJ6" s="38">
        <v>5580</v>
      </c>
      <c r="AK6" s="38">
        <v>1054</v>
      </c>
      <c r="AL6" s="74">
        <f>SUM(B6:AK6)</f>
        <v>95992</v>
      </c>
      <c r="AM6">
        <f>+AC6+S6+X6+AD6+AG6+U6+AJ6</f>
        <v>59985</v>
      </c>
      <c r="AN6" s="20">
        <f>+D6+I6+O6+R6+T6+Z6+E6+Y6+AH6+F6</f>
        <v>21173</v>
      </c>
      <c r="AO6">
        <f>+B6+Q6+AE6+AK6+AI6+L6+M6+W6+V6+AB6+N6+K6+H6+G6+J6+P6+C6+AA6</f>
        <v>14834</v>
      </c>
      <c r="AP6">
        <f>+R6+W6+Z6+AK6+O6+I6+F6</f>
        <v>14260</v>
      </c>
      <c r="AQ6" s="20">
        <f>+B6+D6+K6+L6+M6+Q6+S6+T6+X6+AC6+AD6+AE6+AG6+AI6+U6+E6+AJ6+Y6+N6+G6+AH6+AA6</f>
        <v>77458</v>
      </c>
      <c r="AR6" s="20">
        <f>+AB6+V6+H6+J6+P6+C6</f>
        <v>4274</v>
      </c>
      <c r="AS6">
        <f>+AM6+AN6+AO6</f>
        <v>95992</v>
      </c>
      <c r="AT6">
        <f>+AP6+AQ6+AR6</f>
        <v>95992</v>
      </c>
      <c r="AU6">
        <f>+AR6+AQ6+AP6</f>
        <v>95992</v>
      </c>
    </row>
    <row r="7" spans="1:47" x14ac:dyDescent="0.2">
      <c r="A7" t="s">
        <v>2</v>
      </c>
      <c r="B7" s="38">
        <v>642</v>
      </c>
      <c r="C7" s="38">
        <v>347</v>
      </c>
      <c r="D7" s="38">
        <v>937</v>
      </c>
      <c r="E7" s="38"/>
      <c r="F7" s="38">
        <v>2568</v>
      </c>
      <c r="G7" s="38">
        <v>469</v>
      </c>
      <c r="H7" s="38">
        <v>352</v>
      </c>
      <c r="I7" s="38">
        <v>1510</v>
      </c>
      <c r="J7" s="38"/>
      <c r="K7" s="38">
        <v>1662</v>
      </c>
      <c r="L7" s="38">
        <v>1044</v>
      </c>
      <c r="M7" s="38">
        <v>568</v>
      </c>
      <c r="N7" s="38">
        <v>226</v>
      </c>
      <c r="O7" s="38">
        <v>1208</v>
      </c>
      <c r="P7" s="38">
        <v>326</v>
      </c>
      <c r="Q7" s="38">
        <v>365</v>
      </c>
      <c r="R7" s="38">
        <v>2874</v>
      </c>
      <c r="S7" s="38">
        <v>610</v>
      </c>
      <c r="T7" s="38">
        <v>1208</v>
      </c>
      <c r="U7" s="38">
        <v>2545</v>
      </c>
      <c r="V7" s="38">
        <v>1073</v>
      </c>
      <c r="W7" s="38">
        <v>698</v>
      </c>
      <c r="X7" s="38">
        <v>4747</v>
      </c>
      <c r="Y7" s="38">
        <v>1079</v>
      </c>
      <c r="Z7" s="38">
        <v>991</v>
      </c>
      <c r="AA7" s="38">
        <v>453</v>
      </c>
      <c r="AB7" s="38">
        <v>363</v>
      </c>
      <c r="AC7" s="38">
        <v>3964</v>
      </c>
      <c r="AD7" s="38">
        <v>11514</v>
      </c>
      <c r="AE7" s="38">
        <v>263</v>
      </c>
      <c r="AF7" s="38"/>
      <c r="AG7" s="38">
        <v>6425</v>
      </c>
      <c r="AH7" s="38">
        <v>1296</v>
      </c>
      <c r="AI7" s="38">
        <v>1114</v>
      </c>
      <c r="AJ7" s="38">
        <v>5204</v>
      </c>
      <c r="AK7" s="38">
        <v>962</v>
      </c>
      <c r="AL7" s="74">
        <f>SUM(B7:AK7)</f>
        <v>59607</v>
      </c>
      <c r="AM7">
        <f>+AC7+S7+X7+AD7+AG7+U7+AJ7</f>
        <v>35009</v>
      </c>
      <c r="AN7" s="48">
        <f>+D7+I7+O7+R7+T7+Z7+E7+Y7+AH7+F7</f>
        <v>13671</v>
      </c>
      <c r="AO7">
        <f>+B7+Q7+AE7+AK7+AI7+L7+M7+W7+V7+AB7+N7+K7+H7+G7+J7+P7+C7+AA7</f>
        <v>10927</v>
      </c>
      <c r="AP7">
        <f>+R7+W7+Z7+AK7+O7+I7+F7</f>
        <v>10811</v>
      </c>
      <c r="AQ7" s="20">
        <f>+B7+D7+K7+L7+M7+Q7+S7+T7+X7+AC7+AD7+AE7+AG7+AI7+U7+E7+AJ7+Y7+N7+G7+AH7+AA7</f>
        <v>46335</v>
      </c>
      <c r="AR7" s="20">
        <f>+AB7+V7+H7+J7+P7+C7</f>
        <v>2461</v>
      </c>
      <c r="AS7">
        <f>+AM7+AN7+AO7</f>
        <v>59607</v>
      </c>
      <c r="AT7">
        <f>+AP7+AQ7+AR7</f>
        <v>59607</v>
      </c>
      <c r="AU7">
        <f>+AR7+AQ7+AP7</f>
        <v>59607</v>
      </c>
    </row>
    <row r="8" spans="1:47" x14ac:dyDescent="0.2">
      <c r="A8" t="s">
        <v>4</v>
      </c>
      <c r="B8" s="3">
        <f>+B7/B6</f>
        <v>0.90042075736325389</v>
      </c>
      <c r="C8" s="3">
        <f>+C7/C6</f>
        <v>0.27983870967741936</v>
      </c>
      <c r="D8" s="3">
        <f>+D7/D6</f>
        <v>0.57029823493609255</v>
      </c>
      <c r="E8" s="3"/>
      <c r="F8" s="3">
        <f>+F7/F6</f>
        <v>0.75998816217815923</v>
      </c>
      <c r="G8" s="3">
        <f>+G7/G6</f>
        <v>0.88994307400379502</v>
      </c>
      <c r="H8" s="3">
        <f t="shared" ref="H8:AR8" si="0">+H7/H6</f>
        <v>0.49647390691114246</v>
      </c>
      <c r="I8" s="3">
        <f t="shared" si="0"/>
        <v>0.59402045633359557</v>
      </c>
      <c r="J8" s="3"/>
      <c r="K8" s="3">
        <f t="shared" si="0"/>
        <v>0.93005036373810857</v>
      </c>
      <c r="L8" s="3">
        <f t="shared" si="0"/>
        <v>0.88624787775891345</v>
      </c>
      <c r="M8" s="3">
        <f t="shared" si="0"/>
        <v>0.73290322580645162</v>
      </c>
      <c r="N8" s="3">
        <f t="shared" si="0"/>
        <v>0.52073732718894006</v>
      </c>
      <c r="O8" s="3">
        <f t="shared" si="0"/>
        <v>0.54121863799283154</v>
      </c>
      <c r="P8" s="3">
        <f t="shared" si="0"/>
        <v>0.75115207373271886</v>
      </c>
      <c r="Q8" s="3">
        <f>+Q7/Q6</f>
        <v>0.49059139784946237</v>
      </c>
      <c r="R8" s="3">
        <f t="shared" si="0"/>
        <v>0.94601711652402898</v>
      </c>
      <c r="S8" s="3">
        <f>+S7/S6</f>
        <v>7.3975260732476358E-2</v>
      </c>
      <c r="T8" s="3">
        <f t="shared" si="0"/>
        <v>0.35106073815751238</v>
      </c>
      <c r="U8" s="3">
        <f t="shared" si="0"/>
        <v>0.39093701996927804</v>
      </c>
      <c r="V8" s="3">
        <f t="shared" si="0"/>
        <v>0.75245441795231416</v>
      </c>
      <c r="W8" s="3">
        <f t="shared" si="0"/>
        <v>0.90064516129032257</v>
      </c>
      <c r="X8" s="3">
        <f t="shared" si="0"/>
        <v>0.33001946607341492</v>
      </c>
      <c r="Y8" s="3">
        <f t="shared" si="0"/>
        <v>0.60011123470522798</v>
      </c>
      <c r="Z8" s="3">
        <f t="shared" si="0"/>
        <v>0.79919354838709677</v>
      </c>
      <c r="AA8" s="3">
        <f t="shared" si="0"/>
        <v>0.73064516129032253</v>
      </c>
      <c r="AB8" s="3">
        <f t="shared" si="0"/>
        <v>0.78064516129032258</v>
      </c>
      <c r="AC8" s="3">
        <f t="shared" si="0"/>
        <v>0.71039426523297489</v>
      </c>
      <c r="AD8" s="3">
        <f t="shared" si="0"/>
        <v>0.94508741689239106</v>
      </c>
      <c r="AE8" s="3">
        <f t="shared" si="0"/>
        <v>0.65260545905707201</v>
      </c>
      <c r="AF8" s="3"/>
      <c r="AG8" s="3">
        <f t="shared" si="0"/>
        <v>0.8564382831245001</v>
      </c>
      <c r="AH8" s="3">
        <f t="shared" si="0"/>
        <v>0.6967741935483871</v>
      </c>
      <c r="AI8" s="3">
        <f t="shared" si="0"/>
        <v>0.71870967741935488</v>
      </c>
      <c r="AJ8" s="3">
        <f t="shared" si="0"/>
        <v>0.9326164874551971</v>
      </c>
      <c r="AK8" s="3">
        <f t="shared" si="0"/>
        <v>0.91271347248576851</v>
      </c>
      <c r="AL8" s="6">
        <f t="shared" si="0"/>
        <v>0.62095799649970829</v>
      </c>
      <c r="AM8" s="3">
        <f t="shared" si="0"/>
        <v>0.5836292406434942</v>
      </c>
      <c r="AN8" s="3">
        <f t="shared" si="0"/>
        <v>0.64568081991215232</v>
      </c>
      <c r="AO8" s="3">
        <f t="shared" si="0"/>
        <v>0.73661857894027238</v>
      </c>
      <c r="AP8" s="3">
        <f t="shared" si="0"/>
        <v>0.75813464235624128</v>
      </c>
      <c r="AQ8" s="3">
        <f t="shared" si="0"/>
        <v>0.5981951509204988</v>
      </c>
      <c r="AR8" s="3">
        <f t="shared" si="0"/>
        <v>0.5758072063640618</v>
      </c>
    </row>
    <row r="9" spans="1:47" x14ac:dyDescent="0.2">
      <c r="A9" s="20"/>
      <c r="B9" s="20">
        <v>1</v>
      </c>
      <c r="C9" s="20">
        <v>1</v>
      </c>
      <c r="D9" s="20">
        <v>1</v>
      </c>
      <c r="E9" s="20"/>
      <c r="F9" s="20">
        <v>1</v>
      </c>
      <c r="G9" s="20">
        <v>1</v>
      </c>
      <c r="H9" s="20">
        <v>1</v>
      </c>
      <c r="I9" s="20">
        <v>1</v>
      </c>
      <c r="J9" s="20"/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>
        <v>1</v>
      </c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/>
      <c r="AG9" s="20">
        <v>1</v>
      </c>
      <c r="AH9" s="20">
        <v>1</v>
      </c>
      <c r="AI9" s="20">
        <v>1</v>
      </c>
      <c r="AJ9" s="20">
        <v>1</v>
      </c>
      <c r="AK9" s="20">
        <v>1</v>
      </c>
      <c r="AL9" s="74">
        <f>SUM(B9:AK9)</f>
        <v>33</v>
      </c>
      <c r="AM9" s="20">
        <f>+AC9+S9+X9+AD9+AG9+U9+AJ9</f>
        <v>7</v>
      </c>
      <c r="AN9" s="20">
        <f>+D9+I9+O9+R9+T9+Z9+E9+Y9+AH9+F9</f>
        <v>9</v>
      </c>
      <c r="AO9">
        <f>+B9+Q9+AE9+AK9+AI9+L9+M9+W9+V9+AB9+N9+K9+H9+G9+J9+P9+C9+AA9</f>
        <v>17</v>
      </c>
      <c r="AP9" s="20">
        <f>+R9+W9+Z9+AK9+O9+I9+F9</f>
        <v>7</v>
      </c>
      <c r="AQ9" s="20">
        <f>+B9+D9+K9+L9+M9+Q9+S9+T9+X9+AC9+AD9+AE9+AG9+AI9+U9+E9+AJ9+Y9+N9+G9+AH9+AA9</f>
        <v>21</v>
      </c>
      <c r="AR9" s="20">
        <f>+AB9+V9+H9+J9+P9+C9</f>
        <v>5</v>
      </c>
    </row>
    <row r="10" spans="1:47" x14ac:dyDescent="0.2">
      <c r="AB10" t="s">
        <v>15</v>
      </c>
    </row>
    <row r="11" spans="1:47" x14ac:dyDescent="0.2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  <c r="AC11" s="1"/>
      <c r="AD11" s="1"/>
      <c r="AE11" s="1"/>
      <c r="AF11" s="1"/>
      <c r="AG11" s="1"/>
      <c r="AH11" s="1"/>
      <c r="AL11" s="5"/>
    </row>
    <row r="12" spans="1:47" x14ac:dyDescent="0.2">
      <c r="A12" t="s">
        <v>1</v>
      </c>
      <c r="B12" s="45">
        <f>713/31*28</f>
        <v>644</v>
      </c>
      <c r="C12" s="45">
        <f>28*40</f>
        <v>1120</v>
      </c>
      <c r="D12" s="45">
        <f>1643/31*28</f>
        <v>1484</v>
      </c>
      <c r="E12" s="45"/>
      <c r="F12" s="45">
        <f>3379/31*28</f>
        <v>3052</v>
      </c>
      <c r="G12" s="45">
        <f>527/31*28</f>
        <v>476</v>
      </c>
      <c r="H12" s="45">
        <v>644</v>
      </c>
      <c r="I12" s="45">
        <f>2542/31*28</f>
        <v>2296</v>
      </c>
      <c r="J12" s="45"/>
      <c r="K12" s="45">
        <f>57*28</f>
        <v>1596</v>
      </c>
      <c r="L12" s="45">
        <f>1178/31*28</f>
        <v>1064</v>
      </c>
      <c r="M12" s="45">
        <f>775/31*28</f>
        <v>700</v>
      </c>
      <c r="N12" s="45">
        <f>14*28</f>
        <v>392</v>
      </c>
      <c r="O12" s="45">
        <f>2232/31*28</f>
        <v>2016</v>
      </c>
      <c r="P12" s="45">
        <f>434/31*28</f>
        <v>392</v>
      </c>
      <c r="Q12" s="45">
        <v>616</v>
      </c>
      <c r="R12" s="45">
        <v>2716</v>
      </c>
      <c r="S12" s="45">
        <f>8246/31*28</f>
        <v>7448</v>
      </c>
      <c r="T12" s="45">
        <f>3441/31*28</f>
        <v>3108</v>
      </c>
      <c r="U12" s="45">
        <v>5880</v>
      </c>
      <c r="V12" s="45">
        <f>1426/31*28</f>
        <v>1288</v>
      </c>
      <c r="W12" s="45">
        <f>775/31*28</f>
        <v>700</v>
      </c>
      <c r="X12" s="45">
        <f>14384/31*28</f>
        <v>12992</v>
      </c>
      <c r="Y12" s="45">
        <f>1798*1/31*28</f>
        <v>1624</v>
      </c>
      <c r="Z12" s="45">
        <f>1240*28/31</f>
        <v>1120</v>
      </c>
      <c r="AA12" s="45">
        <f>620/31*28</f>
        <v>560</v>
      </c>
      <c r="AB12" s="45">
        <f>465/31*28</f>
        <v>420</v>
      </c>
      <c r="AC12" s="45">
        <f>5580/31*28</f>
        <v>5040</v>
      </c>
      <c r="AD12" s="45">
        <f>12183/31*28</f>
        <v>11004</v>
      </c>
      <c r="AE12" s="45">
        <f>13*28</f>
        <v>364</v>
      </c>
      <c r="AF12" s="45">
        <v>392</v>
      </c>
      <c r="AG12" s="45">
        <v>6720</v>
      </c>
      <c r="AH12" s="45">
        <f>1860/31*28</f>
        <v>1680</v>
      </c>
      <c r="AI12" s="45">
        <v>1400</v>
      </c>
      <c r="AJ12" s="45">
        <v>5040</v>
      </c>
      <c r="AK12" s="45">
        <f>1054/31*28</f>
        <v>952</v>
      </c>
      <c r="AL12" s="75">
        <f>SUM(B12:AK12)</f>
        <v>86940</v>
      </c>
      <c r="AM12">
        <f>+AC12+S12+X12+AD12+AG12+U12+AJ12</f>
        <v>54124</v>
      </c>
      <c r="AN12" s="20">
        <f>+D12+I12+O12+R12+T12+Z12+E12+Y12+AH12+F12</f>
        <v>19096</v>
      </c>
      <c r="AO12">
        <f>+B12+Q12+AE12+AK12+AI12+L12+M12+W12+V12+AB12+N12+K12+H12+G12+J12+P12+C12+AA12+AF12</f>
        <v>13720</v>
      </c>
      <c r="AP12">
        <f>+R12+W12+Z12+AK12+O12+I12+F12</f>
        <v>12852</v>
      </c>
      <c r="AQ12" s="20">
        <f>+B12+D12+K12+L12+M12+Q12+S12+T12+X12+AC12+AD12+AE12+AG12+AI12+U12+E12+AJ12+Y12+N12+G12+AH12+AA12+AF12</f>
        <v>70224</v>
      </c>
      <c r="AR12" s="20">
        <f>+AB12+V12+H12+J12+P12+C12</f>
        <v>3864</v>
      </c>
      <c r="AS12">
        <f>+AM12+AN12+AO12</f>
        <v>86940</v>
      </c>
      <c r="AT12">
        <f>+AP12+AQ12+AR12</f>
        <v>86940</v>
      </c>
      <c r="AU12">
        <f>+AR12+AQ12+AP12</f>
        <v>86940</v>
      </c>
    </row>
    <row r="13" spans="1:47" x14ac:dyDescent="0.2">
      <c r="A13" t="s">
        <v>2</v>
      </c>
      <c r="B13" s="38">
        <v>573</v>
      </c>
      <c r="C13" s="38">
        <v>644</v>
      </c>
      <c r="D13" s="38">
        <v>1009</v>
      </c>
      <c r="E13" s="38"/>
      <c r="F13" s="38">
        <v>2747</v>
      </c>
      <c r="G13" s="38">
        <v>444</v>
      </c>
      <c r="H13" s="38">
        <v>444</v>
      </c>
      <c r="I13" s="38">
        <v>1474</v>
      </c>
      <c r="J13" s="38"/>
      <c r="K13" s="38">
        <v>1500</v>
      </c>
      <c r="L13" s="38">
        <v>929</v>
      </c>
      <c r="M13" s="38">
        <v>485</v>
      </c>
      <c r="N13" s="38">
        <v>282</v>
      </c>
      <c r="O13" s="38">
        <v>1605</v>
      </c>
      <c r="P13" s="38">
        <v>268</v>
      </c>
      <c r="Q13" s="38">
        <v>407</v>
      </c>
      <c r="R13" s="38">
        <v>2605</v>
      </c>
      <c r="S13" s="38">
        <v>998</v>
      </c>
      <c r="T13" s="38">
        <v>1591</v>
      </c>
      <c r="U13" s="38">
        <v>3222</v>
      </c>
      <c r="V13" s="38">
        <v>869</v>
      </c>
      <c r="W13" s="38">
        <f>+W12*0.88</f>
        <v>616</v>
      </c>
      <c r="X13" s="38">
        <v>5457</v>
      </c>
      <c r="Y13" s="38">
        <f>+Y12*0.75</f>
        <v>1218</v>
      </c>
      <c r="Z13" s="38">
        <v>1018</v>
      </c>
      <c r="AA13" s="38">
        <v>409</v>
      </c>
      <c r="AB13" s="38">
        <f>+AB12*0.75</f>
        <v>315</v>
      </c>
      <c r="AC13" s="38">
        <v>4082</v>
      </c>
      <c r="AD13" s="38">
        <v>10597</v>
      </c>
      <c r="AE13" s="38">
        <v>300</v>
      </c>
      <c r="AF13" s="38">
        <v>191</v>
      </c>
      <c r="AG13" s="38">
        <v>6316</v>
      </c>
      <c r="AH13" s="38">
        <v>1388</v>
      </c>
      <c r="AI13" s="38">
        <v>1056</v>
      </c>
      <c r="AJ13" s="38">
        <v>4408</v>
      </c>
      <c r="AK13" s="38">
        <v>826</v>
      </c>
      <c r="AL13" s="75">
        <f>SUM(B13:AK13)</f>
        <v>60293</v>
      </c>
      <c r="AM13">
        <f>+AC13+S13+X13+AD13+AG13+U13+AJ13</f>
        <v>35080</v>
      </c>
      <c r="AN13" s="48">
        <f>+D13+I13+O13+R13+T13+Z13+E13+Y13+AH13+F13</f>
        <v>14655</v>
      </c>
      <c r="AO13">
        <f>+B13+Q13+AE13+AK13+AI13+L13+M13+W13+V13+AB13+N13+K13+H13+G13+J13+P13+C13+AA13+AF13</f>
        <v>10558</v>
      </c>
      <c r="AP13">
        <f>+R13+W13+Z13+AK13+O13+I13+F13</f>
        <v>10891</v>
      </c>
      <c r="AQ13" s="20">
        <f>+B13+D13+K13+L13+M13+Q13+S13+T13+X13+AC13+AD13+AE13+AG13+AI13+U13+E13+AJ13+Y13+N13+G13+AH13+AA13+AF13</f>
        <v>46862</v>
      </c>
      <c r="AR13" s="20">
        <f>+AB13+V13+H13+J13+P13+C13</f>
        <v>2540</v>
      </c>
      <c r="AS13">
        <f>+AM13+AN13+AO13</f>
        <v>60293</v>
      </c>
      <c r="AT13">
        <f>+AP13+AQ13+AR13</f>
        <v>60293</v>
      </c>
      <c r="AU13">
        <f>+AR13+AQ13+AP13</f>
        <v>60293</v>
      </c>
    </row>
    <row r="14" spans="1:47" x14ac:dyDescent="0.2">
      <c r="A14" t="s">
        <v>4</v>
      </c>
      <c r="B14" s="3">
        <f>+B13/B12</f>
        <v>0.88975155279503104</v>
      </c>
      <c r="C14" s="3">
        <f>+C13/C12</f>
        <v>0.57499999999999996</v>
      </c>
      <c r="D14" s="3">
        <f>+D13/D12</f>
        <v>0.67991913746630728</v>
      </c>
      <c r="E14" s="3"/>
      <c r="F14" s="3">
        <f t="shared" ref="F14:AR14" si="1">+F13/F12</f>
        <v>0.90006553079947571</v>
      </c>
      <c r="G14" s="3">
        <f t="shared" si="1"/>
        <v>0.9327731092436975</v>
      </c>
      <c r="H14" s="3">
        <f t="shared" si="1"/>
        <v>0.68944099378881984</v>
      </c>
      <c r="I14" s="3">
        <f t="shared" si="1"/>
        <v>0.64198606271777003</v>
      </c>
      <c r="J14" s="3"/>
      <c r="K14" s="3">
        <f t="shared" si="1"/>
        <v>0.93984962406015038</v>
      </c>
      <c r="L14" s="3">
        <f t="shared" si="1"/>
        <v>0.87312030075187974</v>
      </c>
      <c r="M14" s="3">
        <f t="shared" si="1"/>
        <v>0.69285714285714284</v>
      </c>
      <c r="N14" s="3">
        <f t="shared" si="1"/>
        <v>0.71938775510204078</v>
      </c>
      <c r="O14" s="3">
        <f t="shared" si="1"/>
        <v>0.79613095238095233</v>
      </c>
      <c r="P14" s="3">
        <f t="shared" si="1"/>
        <v>0.68367346938775508</v>
      </c>
      <c r="Q14" s="3">
        <f t="shared" si="1"/>
        <v>0.6607142857142857</v>
      </c>
      <c r="R14" s="3">
        <f t="shared" si="1"/>
        <v>0.95913107511045659</v>
      </c>
      <c r="S14" s="3">
        <f t="shared" si="1"/>
        <v>0.13399570354457571</v>
      </c>
      <c r="T14" s="3">
        <f t="shared" si="1"/>
        <v>0.51190476190476186</v>
      </c>
      <c r="U14" s="3">
        <f t="shared" si="1"/>
        <v>0.54795918367346941</v>
      </c>
      <c r="V14" s="3">
        <f t="shared" si="1"/>
        <v>0.6746894409937888</v>
      </c>
      <c r="W14" s="3">
        <f t="shared" si="1"/>
        <v>0.88</v>
      </c>
      <c r="X14" s="3">
        <f t="shared" si="1"/>
        <v>0.42002770935960593</v>
      </c>
      <c r="Y14" s="3">
        <f t="shared" si="1"/>
        <v>0.75</v>
      </c>
      <c r="Z14" s="3">
        <f t="shared" si="1"/>
        <v>0.90892857142857142</v>
      </c>
      <c r="AA14" s="3">
        <f t="shared" ref="AA14" si="2">+AA13/AA12</f>
        <v>0.73035714285714282</v>
      </c>
      <c r="AB14" s="3">
        <f t="shared" si="1"/>
        <v>0.75</v>
      </c>
      <c r="AC14" s="3">
        <f t="shared" si="1"/>
        <v>0.80992063492063493</v>
      </c>
      <c r="AD14" s="3">
        <f t="shared" si="1"/>
        <v>0.96301344965467106</v>
      </c>
      <c r="AE14" s="3">
        <f t="shared" si="1"/>
        <v>0.82417582417582413</v>
      </c>
      <c r="AF14" s="3">
        <f t="shared" si="1"/>
        <v>0.48724489795918369</v>
      </c>
      <c r="AG14" s="3">
        <f t="shared" si="1"/>
        <v>0.93988095238095237</v>
      </c>
      <c r="AH14" s="3">
        <f t="shared" si="1"/>
        <v>0.82619047619047614</v>
      </c>
      <c r="AI14" s="3">
        <f t="shared" si="1"/>
        <v>0.75428571428571434</v>
      </c>
      <c r="AJ14" s="3">
        <f t="shared" si="1"/>
        <v>0.8746031746031746</v>
      </c>
      <c r="AK14" s="3">
        <f t="shared" si="1"/>
        <v>0.86764705882352944</v>
      </c>
      <c r="AL14" s="6">
        <f t="shared" si="1"/>
        <v>0.69350126524039568</v>
      </c>
      <c r="AM14" s="3">
        <f t="shared" si="1"/>
        <v>0.64814130515113444</v>
      </c>
      <c r="AN14" s="3">
        <f t="shared" si="1"/>
        <v>0.76743820695433596</v>
      </c>
      <c r="AO14" s="3">
        <f t="shared" si="1"/>
        <v>0.76953352769679295</v>
      </c>
      <c r="AP14" s="3">
        <f t="shared" si="1"/>
        <v>0.84741674447556803</v>
      </c>
      <c r="AQ14" s="3">
        <f t="shared" si="1"/>
        <v>0.66732171337434498</v>
      </c>
      <c r="AR14" s="3">
        <f t="shared" si="1"/>
        <v>0.65734989648033126</v>
      </c>
    </row>
    <row r="15" spans="1:47" x14ac:dyDescent="0.2">
      <c r="A15" s="20"/>
      <c r="B15" s="20">
        <v>1</v>
      </c>
      <c r="C15" s="20">
        <v>1</v>
      </c>
      <c r="D15" s="20">
        <v>1</v>
      </c>
      <c r="E15" s="20"/>
      <c r="F15" s="20">
        <v>1</v>
      </c>
      <c r="G15" s="20">
        <v>1</v>
      </c>
      <c r="H15" s="20">
        <v>1</v>
      </c>
      <c r="I15" s="20">
        <v>1</v>
      </c>
      <c r="J15" s="20"/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>
        <v>1</v>
      </c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20">
        <v>1</v>
      </c>
      <c r="AK15" s="20">
        <v>1</v>
      </c>
      <c r="AL15" s="75">
        <f>SUM(B15:AK15)</f>
        <v>34</v>
      </c>
      <c r="AM15" s="20">
        <f>+AC15+S15+X15+AD15+AG15+U15+AJ15</f>
        <v>7</v>
      </c>
      <c r="AN15" s="20">
        <f>+D15+I15+O15+R15+T15+Z15+E15+Y15+AH15+F15</f>
        <v>9</v>
      </c>
      <c r="AO15">
        <f>+B15+Q15+AE15+AK15+AI15+L15+M15+W15+V15+AB15+N15+K15+H15+G15+J15+P15+C15+AA15+AF15</f>
        <v>18</v>
      </c>
      <c r="AP15" s="20">
        <f>+R15+W15+Z15+AK15+O15+I15+F15</f>
        <v>7</v>
      </c>
      <c r="AQ15" s="20">
        <f>+B15+D15+K15+L15+M15+Q15+S15+T15+X15+AC15+AD15+AE15+AG15+AI15+U15+E15+AJ15+Y15+N15+G15+AH15+AA15+AF15</f>
        <v>22</v>
      </c>
      <c r="AR15" s="20">
        <f>+AB15+V15+H15+J15+P15+C15</f>
        <v>5</v>
      </c>
    </row>
    <row r="16" spans="1:47" x14ac:dyDescent="0.2">
      <c r="I16" t="s">
        <v>15</v>
      </c>
      <c r="AK16" t="s">
        <v>15</v>
      </c>
    </row>
    <row r="17" spans="1:49" x14ac:dyDescent="0.2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/>
      <c r="AC17" s="1"/>
      <c r="AD17" s="1"/>
      <c r="AE17" s="1"/>
      <c r="AF17" s="1"/>
      <c r="AG17" s="1"/>
      <c r="AH17" s="1"/>
      <c r="AL17" s="5"/>
    </row>
    <row r="18" spans="1:49" x14ac:dyDescent="0.2">
      <c r="A18" t="s">
        <v>1</v>
      </c>
      <c r="B18" s="38">
        <v>713</v>
      </c>
      <c r="C18" s="38">
        <f>40*31</f>
        <v>1240</v>
      </c>
      <c r="D18" s="38">
        <v>1643</v>
      </c>
      <c r="E18" s="38"/>
      <c r="F18" s="38">
        <v>3317</v>
      </c>
      <c r="G18" s="38">
        <v>527</v>
      </c>
      <c r="H18" s="38">
        <f>17*31</f>
        <v>527</v>
      </c>
      <c r="I18" s="38">
        <v>2542</v>
      </c>
      <c r="J18" s="38"/>
      <c r="K18" s="38">
        <v>2015</v>
      </c>
      <c r="L18" s="38">
        <v>1178</v>
      </c>
      <c r="M18" s="38">
        <v>775</v>
      </c>
      <c r="N18" s="38">
        <v>434</v>
      </c>
      <c r="O18" s="38">
        <v>2232</v>
      </c>
      <c r="P18" s="38">
        <v>434</v>
      </c>
      <c r="Q18" s="38">
        <v>713</v>
      </c>
      <c r="R18" s="38">
        <v>3007</v>
      </c>
      <c r="S18" s="38">
        <v>8246</v>
      </c>
      <c r="T18" s="38">
        <v>3441</v>
      </c>
      <c r="U18" s="38">
        <v>6510</v>
      </c>
      <c r="V18" s="38">
        <v>1426</v>
      </c>
      <c r="W18" s="38">
        <v>775</v>
      </c>
      <c r="X18" s="38">
        <v>14384</v>
      </c>
      <c r="Y18" s="38">
        <v>1798</v>
      </c>
      <c r="Z18" s="38">
        <v>1240</v>
      </c>
      <c r="AA18" s="38">
        <v>620</v>
      </c>
      <c r="AB18" s="38">
        <f>31*30</f>
        <v>930</v>
      </c>
      <c r="AC18" s="38">
        <v>5580</v>
      </c>
      <c r="AD18" s="38">
        <v>11563</v>
      </c>
      <c r="AE18" s="38">
        <v>403</v>
      </c>
      <c r="AF18" s="38">
        <f>392/28*31</f>
        <v>434</v>
      </c>
      <c r="AG18" s="38">
        <v>7502</v>
      </c>
      <c r="AH18" s="38">
        <v>1860</v>
      </c>
      <c r="AI18" s="38">
        <v>1550</v>
      </c>
      <c r="AJ18" s="38">
        <v>5580</v>
      </c>
      <c r="AK18" s="38">
        <v>1054</v>
      </c>
      <c r="AL18" s="76">
        <f>SUM(B18:AK18)</f>
        <v>96193</v>
      </c>
      <c r="AM18">
        <f>+AC18+S18+X18+AD18+AG18+U18+AJ18</f>
        <v>59365</v>
      </c>
      <c r="AN18" s="20">
        <f>+D18+I18+O18+R18+T18+Z18+E18+Y18+AH18+F18</f>
        <v>21080</v>
      </c>
      <c r="AO18">
        <f>+B18+Q18+AE18+AK18+AI18+L18+M18+W18+V18+AB18+N18+K18+H18+G18+J18+P18+C18+AA18+AF18</f>
        <v>15748</v>
      </c>
      <c r="AP18">
        <f>+R18+W18+Z18+AK18+O18+I18+F18</f>
        <v>14167</v>
      </c>
      <c r="AQ18" s="20">
        <f>+B18+D18+K18+L18+M18+Q18+S18+T18+X18+AC18+AD18+AE18+AG18+AI18+U18+E18+AJ18+Y18+N18+G18+AH18+AA18+AF18</f>
        <v>77469</v>
      </c>
      <c r="AR18" s="20">
        <f>+AB18+V18+H18+J18+P18+C18</f>
        <v>4557</v>
      </c>
      <c r="AS18">
        <f>+AM18+AN18+AO18</f>
        <v>96193</v>
      </c>
      <c r="AT18">
        <f>+AP18+AQ18+AR18</f>
        <v>96193</v>
      </c>
      <c r="AU18">
        <f>+AR18+AQ18+AP18</f>
        <v>96193</v>
      </c>
      <c r="AW18">
        <f>+AL6+AL12+AL18</f>
        <v>279125</v>
      </c>
    </row>
    <row r="19" spans="1:49" x14ac:dyDescent="0.2">
      <c r="A19" t="s">
        <v>2</v>
      </c>
      <c r="B19" s="38">
        <v>548</v>
      </c>
      <c r="C19" s="38">
        <v>687</v>
      </c>
      <c r="D19" s="38">
        <v>772</v>
      </c>
      <c r="E19" s="38"/>
      <c r="F19" s="38">
        <v>2096</v>
      </c>
      <c r="G19" s="38">
        <v>379</v>
      </c>
      <c r="H19" s="38">
        <v>339</v>
      </c>
      <c r="I19" s="38">
        <v>1619</v>
      </c>
      <c r="J19" s="38"/>
      <c r="K19" s="38">
        <v>1869</v>
      </c>
      <c r="L19" s="38">
        <v>1051</v>
      </c>
      <c r="M19" s="38">
        <v>600</v>
      </c>
      <c r="N19" s="38">
        <v>178</v>
      </c>
      <c r="O19" s="38">
        <v>1486</v>
      </c>
      <c r="P19" s="38">
        <v>309</v>
      </c>
      <c r="Q19" s="38">
        <v>298</v>
      </c>
      <c r="R19" s="38">
        <v>2896</v>
      </c>
      <c r="S19" s="38">
        <v>536</v>
      </c>
      <c r="T19" s="38">
        <v>1493</v>
      </c>
      <c r="U19" s="38">
        <v>2962</v>
      </c>
      <c r="V19" s="38">
        <v>1022</v>
      </c>
      <c r="W19" s="38">
        <v>651</v>
      </c>
      <c r="X19" s="38">
        <v>5754</v>
      </c>
      <c r="Y19" s="38">
        <v>1187</v>
      </c>
      <c r="Z19" s="38">
        <v>1052</v>
      </c>
      <c r="AA19" s="38">
        <v>403</v>
      </c>
      <c r="AB19" s="38">
        <v>716</v>
      </c>
      <c r="AC19" s="38">
        <v>4090</v>
      </c>
      <c r="AD19" s="38">
        <v>10700</v>
      </c>
      <c r="AE19" s="38">
        <v>227</v>
      </c>
      <c r="AF19" s="38">
        <v>52</v>
      </c>
      <c r="AG19" s="38">
        <v>6986</v>
      </c>
      <c r="AH19" s="38">
        <v>1289</v>
      </c>
      <c r="AI19" s="38">
        <v>1144</v>
      </c>
      <c r="AJ19" s="38">
        <v>5157</v>
      </c>
      <c r="AK19" s="38">
        <v>911</v>
      </c>
      <c r="AL19" s="76">
        <f>SUM(B19:AK19)</f>
        <v>61459</v>
      </c>
      <c r="AM19">
        <f>+AC19+S19+X19+AD19+AG19+U19+AJ19</f>
        <v>36185</v>
      </c>
      <c r="AN19" s="48">
        <f>+D19+I19+O19+R19+T19+Z19+E19+Y19+AH19+F19</f>
        <v>13890</v>
      </c>
      <c r="AO19">
        <f>+B19+Q19+AE19+AK19+AI19+L19+M19+W19+V19+AB19+N19+K19+H19+G19+J19+P19+C19+AA19+AF19</f>
        <v>11384</v>
      </c>
      <c r="AP19">
        <f>+R19+W19+Z19+AK19+O19+I19+F19</f>
        <v>10711</v>
      </c>
      <c r="AQ19" s="20">
        <f>+B19+D19+K19+L19+M19+Q19+S19+T19+X19+AC19+AD19+AE19+AG19+AI19+U19+E19+AJ19+Y19+N19+G19+AH19+AA19+AF19</f>
        <v>47675</v>
      </c>
      <c r="AR19" s="20">
        <f>+AB19+V19+H19+J19+P19+C19</f>
        <v>3073</v>
      </c>
      <c r="AS19">
        <f>+AM19+AN19+AO19</f>
        <v>61459</v>
      </c>
      <c r="AT19">
        <f>+AP19+AQ19+AR19</f>
        <v>61459</v>
      </c>
      <c r="AU19">
        <f>+AR19+AQ19+AP19</f>
        <v>61459</v>
      </c>
      <c r="AW19">
        <f>+AL7+AL13+AL19</f>
        <v>181359</v>
      </c>
    </row>
    <row r="20" spans="1:49" x14ac:dyDescent="0.2">
      <c r="A20" t="s">
        <v>4</v>
      </c>
      <c r="B20" s="3">
        <f>+B19/B18</f>
        <v>0.76858345021037866</v>
      </c>
      <c r="C20" s="3">
        <f>+C19/C18</f>
        <v>0.55403225806451617</v>
      </c>
      <c r="D20" s="3">
        <f>+D19/D18</f>
        <v>0.46987218502738892</v>
      </c>
      <c r="E20" s="3"/>
      <c r="F20" s="3">
        <f>+F19/F18</f>
        <v>0.63189629182996687</v>
      </c>
      <c r="G20" s="3">
        <f>+G19/G18</f>
        <v>0.71916508538899426</v>
      </c>
      <c r="H20" s="3">
        <f t="shared" ref="H20:AR20" si="3">+H19/H18</f>
        <v>0.64326375711574957</v>
      </c>
      <c r="I20" s="3">
        <f t="shared" si="3"/>
        <v>0.63690007867820608</v>
      </c>
      <c r="J20" s="3"/>
      <c r="K20" s="3">
        <f t="shared" si="3"/>
        <v>0.92754342431761783</v>
      </c>
      <c r="L20" s="3">
        <f t="shared" si="3"/>
        <v>0.89219015280135827</v>
      </c>
      <c r="M20" s="3">
        <f t="shared" si="3"/>
        <v>0.77419354838709675</v>
      </c>
      <c r="N20" s="3">
        <f t="shared" si="3"/>
        <v>0.41013824884792627</v>
      </c>
      <c r="O20" s="3">
        <f t="shared" si="3"/>
        <v>0.66577060931899645</v>
      </c>
      <c r="P20" s="3">
        <f t="shared" si="3"/>
        <v>0.71198156682027647</v>
      </c>
      <c r="Q20" s="3">
        <f t="shared" si="3"/>
        <v>0.41795231416549788</v>
      </c>
      <c r="R20" s="3">
        <f t="shared" si="3"/>
        <v>0.96308613235783169</v>
      </c>
      <c r="S20" s="3">
        <f t="shared" si="3"/>
        <v>6.5001212709192333E-2</v>
      </c>
      <c r="T20" s="3">
        <f t="shared" si="3"/>
        <v>0.43388549840162743</v>
      </c>
      <c r="U20" s="3">
        <f t="shared" si="3"/>
        <v>0.45499231950844854</v>
      </c>
      <c r="V20" s="3">
        <f t="shared" si="3"/>
        <v>0.71669004207573628</v>
      </c>
      <c r="W20" s="3">
        <f t="shared" si="3"/>
        <v>0.84</v>
      </c>
      <c r="X20" s="3">
        <f t="shared" si="3"/>
        <v>0.400027808676307</v>
      </c>
      <c r="Y20" s="3">
        <f t="shared" si="3"/>
        <v>0.66017797552836488</v>
      </c>
      <c r="Z20" s="3">
        <f t="shared" si="3"/>
        <v>0.84838709677419355</v>
      </c>
      <c r="AA20" s="3">
        <f t="shared" si="3"/>
        <v>0.65</v>
      </c>
      <c r="AB20" s="3">
        <f t="shared" si="3"/>
        <v>0.76989247311827957</v>
      </c>
      <c r="AC20" s="3">
        <f t="shared" si="3"/>
        <v>0.73297491039426521</v>
      </c>
      <c r="AD20" s="3">
        <f t="shared" si="3"/>
        <v>0.92536538960477388</v>
      </c>
      <c r="AE20" s="3">
        <f t="shared" si="3"/>
        <v>0.56327543424317617</v>
      </c>
      <c r="AF20" s="3">
        <f t="shared" si="3"/>
        <v>0.11981566820276497</v>
      </c>
      <c r="AG20" s="3">
        <f t="shared" si="3"/>
        <v>0.93121834177552654</v>
      </c>
      <c r="AH20" s="3">
        <f t="shared" si="3"/>
        <v>0.69301075268817203</v>
      </c>
      <c r="AI20" s="3">
        <f t="shared" si="3"/>
        <v>0.73806451612903223</v>
      </c>
      <c r="AJ20" s="3">
        <f t="shared" si="3"/>
        <v>0.92419354838709677</v>
      </c>
      <c r="AK20" s="3">
        <f t="shared" si="3"/>
        <v>0.864326375711575</v>
      </c>
      <c r="AL20" s="6">
        <f t="shared" si="3"/>
        <v>0.63891343444949211</v>
      </c>
      <c r="AM20" s="3">
        <f t="shared" si="3"/>
        <v>0.60953423734523704</v>
      </c>
      <c r="AN20" s="3">
        <f t="shared" si="3"/>
        <v>0.65891840607210628</v>
      </c>
      <c r="AO20" s="3">
        <f t="shared" si="3"/>
        <v>0.72288544577089153</v>
      </c>
      <c r="AP20" s="3">
        <f t="shared" si="3"/>
        <v>0.75605279875767628</v>
      </c>
      <c r="AQ20" s="3">
        <f t="shared" si="3"/>
        <v>0.61540745330390223</v>
      </c>
      <c r="AR20" s="3">
        <f t="shared" si="3"/>
        <v>0.67434715821812596</v>
      </c>
      <c r="AW20">
        <f>+AW19/AW18</f>
        <v>0.64974115539632782</v>
      </c>
    </row>
    <row r="21" spans="1:49" x14ac:dyDescent="0.2">
      <c r="A21" s="20"/>
      <c r="B21" s="20">
        <v>1</v>
      </c>
      <c r="C21" s="20">
        <v>1</v>
      </c>
      <c r="D21" s="20">
        <v>1</v>
      </c>
      <c r="E21" s="20"/>
      <c r="F21" s="20">
        <v>1</v>
      </c>
      <c r="G21" s="20">
        <v>1</v>
      </c>
      <c r="H21" s="20">
        <v>1</v>
      </c>
      <c r="I21" s="20">
        <v>1</v>
      </c>
      <c r="J21" s="20"/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>
        <v>1</v>
      </c>
      <c r="AA21" s="20">
        <v>1</v>
      </c>
      <c r="AB21" s="38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20">
        <v>1</v>
      </c>
      <c r="AK21" s="20">
        <v>1</v>
      </c>
      <c r="AL21" s="76">
        <f>SUM(B21:AK21)</f>
        <v>34</v>
      </c>
      <c r="AM21" s="20">
        <f>+AC21+S21+X21+AD21+AG21+U21+AJ21</f>
        <v>7</v>
      </c>
      <c r="AN21" s="20">
        <f>+D21+I21+O21+R21+T21+Z21+E21+Y21+AH21+F21</f>
        <v>9</v>
      </c>
      <c r="AO21">
        <f>+B21+Q21+AE21+AK21+AI21+L21+M21+W21+V21+AB21+N21+K21+H21+G21+J21+P21+C21+AA21+AF21</f>
        <v>18</v>
      </c>
      <c r="AP21" s="20">
        <f>+R21+W21+Z21+AK21+O21+I21+F21</f>
        <v>7</v>
      </c>
      <c r="AQ21" s="20">
        <f>+B21+D21+K21+L21+M21+Q21+S21+T21+X21+AC21+AD21+AE21+AG21+AI21+U21+E21+AJ21+Y21+N21+G21+AH21+AA21+AF21</f>
        <v>22</v>
      </c>
      <c r="AR21" s="20">
        <f>+AB21+V21+H21+J21+P21+C21</f>
        <v>5</v>
      </c>
    </row>
    <row r="22" spans="1:49" x14ac:dyDescent="0.2">
      <c r="B22" s="38"/>
      <c r="C22" s="38"/>
    </row>
    <row r="23" spans="1:49" x14ac:dyDescent="0.2">
      <c r="A23" s="2" t="s">
        <v>56</v>
      </c>
      <c r="B23" s="38"/>
      <c r="C23" s="3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C23" s="1"/>
      <c r="AD23" s="1"/>
      <c r="AE23" s="1"/>
      <c r="AF23" s="1"/>
      <c r="AG23" s="1"/>
      <c r="AH23" s="1"/>
      <c r="AL23" s="5"/>
    </row>
    <row r="24" spans="1:49" x14ac:dyDescent="0.2">
      <c r="A24" t="s">
        <v>1</v>
      </c>
      <c r="B24" s="38">
        <f>713/31*30</f>
        <v>690</v>
      </c>
      <c r="C24" s="38">
        <f>30*40</f>
        <v>1200</v>
      </c>
      <c r="D24" s="38">
        <f>1643/31*30</f>
        <v>1590</v>
      </c>
      <c r="E24" s="38"/>
      <c r="F24" s="38">
        <f>3317/31*30</f>
        <v>3210</v>
      </c>
      <c r="G24" s="38">
        <f>527/31*30</f>
        <v>510</v>
      </c>
      <c r="H24" s="38">
        <v>525</v>
      </c>
      <c r="I24" s="38">
        <f>2542/31*30</f>
        <v>2460</v>
      </c>
      <c r="J24" s="38"/>
      <c r="K24" s="38">
        <v>1950</v>
      </c>
      <c r="L24" s="38">
        <f>1178/31*30</f>
        <v>1140</v>
      </c>
      <c r="M24" s="38">
        <f>775/31*30</f>
        <v>750</v>
      </c>
      <c r="N24" s="38">
        <f>434/31*30</f>
        <v>420</v>
      </c>
      <c r="O24" s="38">
        <v>2160</v>
      </c>
      <c r="P24" s="38">
        <v>420</v>
      </c>
      <c r="Q24" s="38">
        <v>690</v>
      </c>
      <c r="R24" s="38">
        <v>2910</v>
      </c>
      <c r="S24" s="38">
        <f>8246/31*30</f>
        <v>7980</v>
      </c>
      <c r="T24" s="38">
        <f>3441/31*30</f>
        <v>3330</v>
      </c>
      <c r="U24" s="38">
        <f>202*30</f>
        <v>6060</v>
      </c>
      <c r="V24" s="38">
        <f>1426/31*30</f>
        <v>1380</v>
      </c>
      <c r="W24" s="38">
        <f>775/31*30</f>
        <v>750</v>
      </c>
      <c r="X24" s="38">
        <f>14384/31*30</f>
        <v>13920</v>
      </c>
      <c r="Y24" s="38">
        <f>1798/31*30</f>
        <v>1740</v>
      </c>
      <c r="Z24" s="38">
        <f>1240/31*30</f>
        <v>1200</v>
      </c>
      <c r="AA24" s="38">
        <v>600</v>
      </c>
      <c r="AB24" s="38">
        <f>930/31*30</f>
        <v>900</v>
      </c>
      <c r="AC24" s="38">
        <f>5580/31*30</f>
        <v>5400</v>
      </c>
      <c r="AD24" s="38">
        <v>11190</v>
      </c>
      <c r="AE24" s="38">
        <v>390</v>
      </c>
      <c r="AF24" s="38">
        <v>420</v>
      </c>
      <c r="AG24" s="38">
        <v>7260</v>
      </c>
      <c r="AH24" s="38">
        <f>1860/31*30</f>
        <v>1800</v>
      </c>
      <c r="AI24" s="38">
        <v>1530</v>
      </c>
      <c r="AJ24" s="38">
        <v>5400</v>
      </c>
      <c r="AK24" s="38">
        <f>1054/31*30</f>
        <v>1020</v>
      </c>
      <c r="AL24" s="77">
        <f>SUM(B24:AK24)</f>
        <v>92895</v>
      </c>
      <c r="AM24">
        <f>+AC24+S24+X24+AD24+AG24+U24+AJ24</f>
        <v>57210</v>
      </c>
      <c r="AN24" s="20">
        <f>+D24+I24+O24+R24+T24+Z24+E24+Y24+AH24+F24</f>
        <v>20400</v>
      </c>
      <c r="AO24">
        <f>+B24+Q24+AE24+AK24+AI24+L24+M24+W24+V24+AB24+N24+K24+H24+G24+J24+P24+C24+AA24+AF24</f>
        <v>15285</v>
      </c>
      <c r="AP24">
        <f>+R24+W24+Z24+AK24+O24+I24+F24</f>
        <v>13710</v>
      </c>
      <c r="AQ24" s="20">
        <f>+B24+D24+K24+L24+M24+Q24+S24+T24+X24+AC24+AD24+AE24+AG24+AI24+U24+E24+AJ24+Y24+N24+G24+AH24+AA24+AF24</f>
        <v>74760</v>
      </c>
      <c r="AR24" s="20">
        <f>+AB24+V24+H24+J24+P24+C24</f>
        <v>4425</v>
      </c>
      <c r="AS24">
        <f>+AM24+AN24+AO24</f>
        <v>92895</v>
      </c>
      <c r="AT24">
        <f>+AP24+AQ24+AR24</f>
        <v>92895</v>
      </c>
      <c r="AU24">
        <f>+AR24+AQ24+AP24</f>
        <v>92895</v>
      </c>
    </row>
    <row r="25" spans="1:49" x14ac:dyDescent="0.2">
      <c r="A25" t="s">
        <v>2</v>
      </c>
      <c r="B25" s="38">
        <v>538</v>
      </c>
      <c r="C25" s="38">
        <v>725</v>
      </c>
      <c r="D25" s="38">
        <v>700</v>
      </c>
      <c r="E25" s="38"/>
      <c r="F25" s="38">
        <v>2119</v>
      </c>
      <c r="G25" s="38">
        <v>424</v>
      </c>
      <c r="H25" s="38">
        <v>427</v>
      </c>
      <c r="I25" s="38">
        <v>1621</v>
      </c>
      <c r="J25" s="38"/>
      <c r="K25" s="38">
        <v>1816</v>
      </c>
      <c r="L25" s="38">
        <v>742</v>
      </c>
      <c r="M25" s="38">
        <f>+M24*0.72</f>
        <v>540</v>
      </c>
      <c r="N25" s="38">
        <f>+N24*0.65</f>
        <v>273</v>
      </c>
      <c r="O25" s="38">
        <v>1295</v>
      </c>
      <c r="P25" s="38">
        <v>292</v>
      </c>
      <c r="Q25" s="38">
        <v>336</v>
      </c>
      <c r="R25" s="38">
        <v>2611</v>
      </c>
      <c r="S25" s="38">
        <v>511</v>
      </c>
      <c r="T25" s="38">
        <v>1089</v>
      </c>
      <c r="U25" s="38">
        <v>2291</v>
      </c>
      <c r="V25" s="38">
        <v>954</v>
      </c>
      <c r="W25" s="38">
        <f>+W24*0.9</f>
        <v>675</v>
      </c>
      <c r="X25" s="38">
        <v>5290</v>
      </c>
      <c r="Y25" s="38">
        <v>940</v>
      </c>
      <c r="Z25" s="38">
        <v>870</v>
      </c>
      <c r="AA25" s="38">
        <f>+AA24*0.47</f>
        <v>282</v>
      </c>
      <c r="AB25">
        <v>422</v>
      </c>
      <c r="AC25" s="38">
        <v>3440</v>
      </c>
      <c r="AD25" s="38">
        <v>9016</v>
      </c>
      <c r="AE25" s="38">
        <v>224</v>
      </c>
      <c r="AF25" s="38">
        <v>130</v>
      </c>
      <c r="AG25" s="38">
        <v>6513</v>
      </c>
      <c r="AH25" s="38">
        <v>1354</v>
      </c>
      <c r="AI25" s="38">
        <v>1130</v>
      </c>
      <c r="AJ25" s="38">
        <v>5010</v>
      </c>
      <c r="AK25" s="38">
        <v>553</v>
      </c>
      <c r="AL25" s="77">
        <f>SUM(B25:AK25)</f>
        <v>55153</v>
      </c>
      <c r="AM25">
        <f>+AC25+S25+X25+AD25+AG25+U25+AJ25</f>
        <v>32071</v>
      </c>
      <c r="AN25" s="48">
        <f>+D25+I25+O25+R25+T25+Z25+E25+Y25+AH25+F25</f>
        <v>12599</v>
      </c>
      <c r="AO25">
        <f>+B25+Q25+AE25+AK25+AI25+L25+M25+W25+V25+AB25+N25+K25+H25+G25+J25+P25+C25+AA25+AF25</f>
        <v>10483</v>
      </c>
      <c r="AP25">
        <f>+R25+W25+Z25+AK25+O25+I25+F25</f>
        <v>9744</v>
      </c>
      <c r="AQ25" s="20">
        <f>+B25+D25+K25+L25+M25+Q25+S25+T25+X25+AC25+AD25+AE25+AG25+AI25+U25+E25+AJ25+Y25+N25+G25+AH25+AA25+AF25</f>
        <v>42589</v>
      </c>
      <c r="AR25" s="20">
        <f>+AB25+V25+H25+J25+P25+C25</f>
        <v>2820</v>
      </c>
      <c r="AS25">
        <f>+AM25+AN25+AO25</f>
        <v>55153</v>
      </c>
      <c r="AT25">
        <f>+AP25+AQ25+AR25</f>
        <v>55153</v>
      </c>
      <c r="AU25">
        <f>+AR25+AQ25+AP25</f>
        <v>55153</v>
      </c>
    </row>
    <row r="26" spans="1:49" x14ac:dyDescent="0.2">
      <c r="A26" t="s">
        <v>4</v>
      </c>
      <c r="B26" s="3">
        <f>+B25/B24</f>
        <v>0.77971014492753621</v>
      </c>
      <c r="C26" s="3">
        <f>+C25/C24</f>
        <v>0.60416666666666663</v>
      </c>
      <c r="D26" s="3">
        <f>+D25/D24</f>
        <v>0.44025157232704404</v>
      </c>
      <c r="E26" s="3"/>
      <c r="F26" s="3">
        <f>+F25/F24</f>
        <v>0.66012461059190031</v>
      </c>
      <c r="G26" s="3">
        <f>+G25/G24</f>
        <v>0.83137254901960789</v>
      </c>
      <c r="H26" s="3">
        <f t="shared" ref="H26:AR26" si="4">+H25/H24</f>
        <v>0.81333333333333335</v>
      </c>
      <c r="I26" s="3">
        <f t="shared" si="4"/>
        <v>0.6589430894308943</v>
      </c>
      <c r="J26" s="3"/>
      <c r="K26" s="3">
        <f t="shared" si="4"/>
        <v>0.93128205128205133</v>
      </c>
      <c r="L26" s="3">
        <f t="shared" si="4"/>
        <v>0.65087719298245617</v>
      </c>
      <c r="M26" s="3">
        <f t="shared" si="4"/>
        <v>0.72</v>
      </c>
      <c r="N26" s="3">
        <f t="shared" si="4"/>
        <v>0.65</v>
      </c>
      <c r="O26" s="3">
        <f t="shared" si="4"/>
        <v>0.59953703703703709</v>
      </c>
      <c r="P26" s="3">
        <f t="shared" si="4"/>
        <v>0.69523809523809521</v>
      </c>
      <c r="Q26" s="3">
        <f>+Q25/Q24</f>
        <v>0.48695652173913045</v>
      </c>
      <c r="R26" s="3">
        <f t="shared" si="4"/>
        <v>0.89725085910652924</v>
      </c>
      <c r="S26" s="3">
        <f>+S25/S24</f>
        <v>6.403508771929825E-2</v>
      </c>
      <c r="T26" s="3">
        <f t="shared" si="4"/>
        <v>0.32702702702702702</v>
      </c>
      <c r="U26" s="3">
        <f t="shared" si="4"/>
        <v>0.37805280528052804</v>
      </c>
      <c r="V26" s="3">
        <f t="shared" si="4"/>
        <v>0.69130434782608696</v>
      </c>
      <c r="W26" s="3">
        <f t="shared" si="4"/>
        <v>0.9</v>
      </c>
      <c r="X26" s="3">
        <f t="shared" si="4"/>
        <v>0.38002873563218392</v>
      </c>
      <c r="Y26" s="3">
        <f t="shared" si="4"/>
        <v>0.54022988505747127</v>
      </c>
      <c r="Z26" s="3">
        <f t="shared" si="4"/>
        <v>0.72499999999999998</v>
      </c>
      <c r="AA26" s="3">
        <f t="shared" si="4"/>
        <v>0.47</v>
      </c>
      <c r="AB26" s="3">
        <f t="shared" si="4"/>
        <v>0.46888888888888891</v>
      </c>
      <c r="AC26" s="3">
        <f t="shared" si="4"/>
        <v>0.63703703703703707</v>
      </c>
      <c r="AD26" s="3">
        <f t="shared" si="4"/>
        <v>0.80571939231456657</v>
      </c>
      <c r="AE26" s="3">
        <f t="shared" si="4"/>
        <v>0.57435897435897432</v>
      </c>
      <c r="AF26" s="3">
        <f t="shared" si="4"/>
        <v>0.30952380952380953</v>
      </c>
      <c r="AG26" s="3">
        <f t="shared" si="4"/>
        <v>0.89710743801652892</v>
      </c>
      <c r="AH26" s="3">
        <f t="shared" si="4"/>
        <v>0.75222222222222224</v>
      </c>
      <c r="AI26" s="3">
        <f t="shared" si="4"/>
        <v>0.73856209150326801</v>
      </c>
      <c r="AJ26" s="3">
        <f t="shared" si="4"/>
        <v>0.92777777777777781</v>
      </c>
      <c r="AK26" s="3">
        <f t="shared" si="4"/>
        <v>0.542156862745098</v>
      </c>
      <c r="AL26" s="6">
        <f t="shared" si="4"/>
        <v>0.59371333225684908</v>
      </c>
      <c r="AM26" s="3">
        <f t="shared" si="4"/>
        <v>0.56058381401852819</v>
      </c>
      <c r="AN26" s="3">
        <f t="shared" si="4"/>
        <v>0.61759803921568623</v>
      </c>
      <c r="AO26" s="3">
        <f t="shared" si="4"/>
        <v>0.68583578671900558</v>
      </c>
      <c r="AP26" s="3">
        <f t="shared" si="4"/>
        <v>0.71072210065645514</v>
      </c>
      <c r="AQ26" s="3">
        <f t="shared" si="4"/>
        <v>0.56967629748528625</v>
      </c>
      <c r="AR26" s="3">
        <f t="shared" si="4"/>
        <v>0.63728813559322028</v>
      </c>
    </row>
    <row r="27" spans="1:49" x14ac:dyDescent="0.2">
      <c r="A27" s="20"/>
      <c r="B27" s="20">
        <v>1</v>
      </c>
      <c r="C27" s="20">
        <v>1</v>
      </c>
      <c r="D27" s="20">
        <v>1</v>
      </c>
      <c r="E27" s="20"/>
      <c r="F27" s="20">
        <v>1</v>
      </c>
      <c r="G27" s="20">
        <v>1</v>
      </c>
      <c r="H27" s="20">
        <v>1</v>
      </c>
      <c r="I27" s="20">
        <v>1</v>
      </c>
      <c r="J27" s="20"/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20">
        <v>1</v>
      </c>
      <c r="AK27" s="20">
        <v>1</v>
      </c>
      <c r="AL27" s="77">
        <f>SUM(B27:AK27)</f>
        <v>34</v>
      </c>
      <c r="AM27" s="20">
        <f>+AC27+S27+X27+AD27+AG27+U27+AJ27</f>
        <v>7</v>
      </c>
      <c r="AN27" s="20">
        <f>+D27+I27+O27+R27+T27+Z27+E27+Y27+AH27+F27</f>
        <v>9</v>
      </c>
      <c r="AO27">
        <f>+B27+Q27+AE27+AK27+AI27+L27+M27+W27+V27+AB27+N27+K27+H27+G27+J27+P27+C27+AA27+AF27</f>
        <v>18</v>
      </c>
      <c r="AP27" s="20">
        <f>+R27+W27+Z27+AK27+O27+I27+F27</f>
        <v>7</v>
      </c>
      <c r="AQ27" s="20">
        <f>+B27+D27+K27+L27+M27+Q27+S27+T27+X27+AC27+AD27+AE27+AG27+AI27+U27+E27+AJ27+Y27+N27+G27+AH27+AA27+AF27</f>
        <v>22</v>
      </c>
      <c r="AR27" s="20">
        <f>+AB27+V27+H27+J27+P27+C27</f>
        <v>5</v>
      </c>
    </row>
    <row r="29" spans="1:49" x14ac:dyDescent="0.2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C29" s="1"/>
      <c r="AD29" s="1"/>
      <c r="AE29" s="1"/>
      <c r="AF29" s="1"/>
      <c r="AG29" s="1"/>
      <c r="AH29" s="1"/>
      <c r="AL29" s="5"/>
    </row>
    <row r="30" spans="1:49" x14ac:dyDescent="0.2">
      <c r="A30" t="s">
        <v>1</v>
      </c>
      <c r="B30" s="38">
        <v>713</v>
      </c>
      <c r="C30" s="38">
        <v>1240</v>
      </c>
      <c r="D30" s="38">
        <v>1643</v>
      </c>
      <c r="E30" s="38"/>
      <c r="F30" s="38">
        <v>3317</v>
      </c>
      <c r="G30" s="38">
        <v>527</v>
      </c>
      <c r="H30" s="38">
        <v>525</v>
      </c>
      <c r="I30" s="38">
        <v>2542</v>
      </c>
      <c r="J30" s="38"/>
      <c r="K30" s="38">
        <v>2015</v>
      </c>
      <c r="L30" s="38">
        <v>1178</v>
      </c>
      <c r="M30" s="38">
        <v>775</v>
      </c>
      <c r="N30" s="38">
        <v>434</v>
      </c>
      <c r="O30" s="38">
        <v>2232</v>
      </c>
      <c r="P30" s="38">
        <v>434</v>
      </c>
      <c r="Q30" s="38">
        <v>715</v>
      </c>
      <c r="R30" s="38">
        <v>3038</v>
      </c>
      <c r="S30" s="38">
        <v>8246</v>
      </c>
      <c r="T30" s="38">
        <v>0</v>
      </c>
      <c r="U30" s="38">
        <v>6510</v>
      </c>
      <c r="V30" s="38">
        <v>1426</v>
      </c>
      <c r="W30" s="38">
        <v>775</v>
      </c>
      <c r="X30" s="38">
        <v>14384</v>
      </c>
      <c r="Y30" s="38">
        <v>1798</v>
      </c>
      <c r="Z30" s="38">
        <v>1240</v>
      </c>
      <c r="AA30" s="38">
        <v>620</v>
      </c>
      <c r="AB30" s="38">
        <v>930</v>
      </c>
      <c r="AC30" s="38">
        <v>5580</v>
      </c>
      <c r="AD30" s="38">
        <v>11563</v>
      </c>
      <c r="AE30" s="38">
        <v>403</v>
      </c>
      <c r="AF30" s="38">
        <v>403</v>
      </c>
      <c r="AG30" s="38">
        <v>7502</v>
      </c>
      <c r="AH30" s="38">
        <v>1860</v>
      </c>
      <c r="AI30" s="38">
        <v>1581</v>
      </c>
      <c r="AJ30" s="38">
        <v>5580</v>
      </c>
      <c r="AK30" s="38">
        <v>1054</v>
      </c>
      <c r="AL30" s="78">
        <f>SUM(B30:AK30)</f>
        <v>92783</v>
      </c>
      <c r="AM30">
        <f>+AC30+S30+X30+AD30+AG30+U30+AJ30</f>
        <v>59365</v>
      </c>
      <c r="AN30" s="20">
        <f>+D30+I30+O30+R30+T30+Z30+E30+Y30+AH30+F30</f>
        <v>17670</v>
      </c>
      <c r="AO30">
        <f>+B30+Q30+AE30+AK30+AI30+L30+M30+W30+V30+AB30+N30+K30+H30+G30+J30+P30+C30+AA30+AF30</f>
        <v>15748</v>
      </c>
      <c r="AP30">
        <f>+R30+W30+Z30+AK30+O30+I30+F30</f>
        <v>14198</v>
      </c>
      <c r="AQ30" s="20">
        <f>+B30+D30+K30+L30+M30+Q30+S30+T30+X30+AC30+AD30+AE30+AG30+AI30+U30+E30+AJ30+Y30+N30+G30+AH30+AA30+AF30</f>
        <v>74030</v>
      </c>
      <c r="AR30" s="20">
        <f>+AB30+V30+H30+J30+P30+C30</f>
        <v>4555</v>
      </c>
      <c r="AS30">
        <f>+AM30+AN30+AO30</f>
        <v>92783</v>
      </c>
      <c r="AT30">
        <f>+AP30+AQ30+AR30</f>
        <v>92783</v>
      </c>
      <c r="AU30">
        <f>+AR30+AQ30+AP30</f>
        <v>92783</v>
      </c>
    </row>
    <row r="31" spans="1:49" x14ac:dyDescent="0.2">
      <c r="A31" t="s">
        <v>2</v>
      </c>
      <c r="B31" s="45">
        <v>214</v>
      </c>
      <c r="C31" s="45">
        <v>763</v>
      </c>
      <c r="D31" s="45">
        <v>345</v>
      </c>
      <c r="E31" s="45"/>
      <c r="F31" s="45">
        <v>2521</v>
      </c>
      <c r="G31" s="45">
        <v>300</v>
      </c>
      <c r="H31" s="45">
        <v>142</v>
      </c>
      <c r="I31" s="45">
        <v>1467</v>
      </c>
      <c r="J31" s="45"/>
      <c r="K31" s="45">
        <v>1733</v>
      </c>
      <c r="L31" s="45">
        <v>540</v>
      </c>
      <c r="M31" s="45">
        <v>636</v>
      </c>
      <c r="N31" s="45">
        <v>96</v>
      </c>
      <c r="O31" s="45">
        <v>1065</v>
      </c>
      <c r="P31" s="45">
        <v>171</v>
      </c>
      <c r="Q31" s="45">
        <v>108</v>
      </c>
      <c r="R31" s="45">
        <v>2768</v>
      </c>
      <c r="S31" s="45">
        <v>388</v>
      </c>
      <c r="T31" s="45">
        <v>0</v>
      </c>
      <c r="U31" s="45">
        <v>1693</v>
      </c>
      <c r="V31" s="45">
        <v>913</v>
      </c>
      <c r="W31" s="45">
        <v>659</v>
      </c>
      <c r="X31" s="45">
        <v>4499</v>
      </c>
      <c r="Y31" s="45">
        <v>557</v>
      </c>
      <c r="Z31" s="45">
        <v>836</v>
      </c>
      <c r="AA31" s="45">
        <v>329</v>
      </c>
      <c r="AB31" s="45">
        <f>+AB30*0.3</f>
        <v>279</v>
      </c>
      <c r="AC31" s="45">
        <v>3519</v>
      </c>
      <c r="AD31" s="45">
        <v>9924</v>
      </c>
      <c r="AE31" s="45">
        <v>150</v>
      </c>
      <c r="AF31" s="45">
        <v>54</v>
      </c>
      <c r="AG31" s="45">
        <v>5905</v>
      </c>
      <c r="AH31" s="45">
        <v>1349</v>
      </c>
      <c r="AI31" s="45">
        <v>736</v>
      </c>
      <c r="AJ31" s="45">
        <v>4510</v>
      </c>
      <c r="AK31" s="45">
        <v>591</v>
      </c>
      <c r="AL31" s="78">
        <f>SUM(B31:AK31)</f>
        <v>49760</v>
      </c>
      <c r="AM31">
        <f>+AC31+S31+X31+AD31+AG31+U31+AJ31</f>
        <v>30438</v>
      </c>
      <c r="AN31" s="48">
        <f>+D31+I31+O31+R31+T31+Z31+E31+Y31+AH31+F31</f>
        <v>10908</v>
      </c>
      <c r="AO31">
        <f>+B31+Q31+AE31+AK31+AI31+L31+M31+W31+V31+AB31+N31+K31+H31+G31+J31+P31+C31+AA31+AF31</f>
        <v>8414</v>
      </c>
      <c r="AP31">
        <f>+R31+W31+Z31+AK31+O31+I31+F31</f>
        <v>9907</v>
      </c>
      <c r="AQ31" s="20">
        <f>+B31+D31+K31+L31+M31+Q31+S31+T31+X31+AC31+AD31+AE31+AG31+AI31+U31+E31+AJ31+Y31+N31+G31+AH31+AA31+AF31</f>
        <v>37585</v>
      </c>
      <c r="AR31" s="20">
        <f>+AB31+V31+H31+J31+P31+C31</f>
        <v>2268</v>
      </c>
      <c r="AS31">
        <f>+AM31+AN31+AO31</f>
        <v>49760</v>
      </c>
      <c r="AT31">
        <f>+AP31+AQ31+AR31</f>
        <v>49760</v>
      </c>
      <c r="AU31">
        <f>+AR31+AQ31+AP31</f>
        <v>49760</v>
      </c>
    </row>
    <row r="32" spans="1:49" x14ac:dyDescent="0.2">
      <c r="A32" t="s">
        <v>4</v>
      </c>
      <c r="B32" s="80">
        <f>+B31/B30</f>
        <v>0.30014025245441794</v>
      </c>
      <c r="C32" s="80">
        <f>+C31/C30</f>
        <v>0.61532258064516132</v>
      </c>
      <c r="D32" s="80">
        <f>+D31/D30</f>
        <v>0.20998174071819842</v>
      </c>
      <c r="E32" s="80"/>
      <c r="F32" s="80">
        <f t="shared" ref="F32:AB32" si="5">+F31/F30</f>
        <v>0.76002411817907745</v>
      </c>
      <c r="G32" s="80">
        <f t="shared" si="5"/>
        <v>0.56925996204933582</v>
      </c>
      <c r="H32" s="80">
        <f t="shared" si="5"/>
        <v>0.27047619047619048</v>
      </c>
      <c r="I32" s="80">
        <f t="shared" si="5"/>
        <v>0.57710464201416212</v>
      </c>
      <c r="J32" s="80"/>
      <c r="K32" s="80">
        <f t="shared" si="5"/>
        <v>0.86004962779156324</v>
      </c>
      <c r="L32" s="80">
        <f t="shared" si="5"/>
        <v>0.45840407470288624</v>
      </c>
      <c r="M32" s="80">
        <f t="shared" si="5"/>
        <v>0.82064516129032261</v>
      </c>
      <c r="N32" s="80">
        <f t="shared" si="5"/>
        <v>0.22119815668202766</v>
      </c>
      <c r="O32" s="80">
        <f t="shared" si="5"/>
        <v>0.47715053763440862</v>
      </c>
      <c r="P32" s="80">
        <f t="shared" si="5"/>
        <v>0.39400921658986177</v>
      </c>
      <c r="Q32" s="80">
        <f t="shared" si="5"/>
        <v>0.15104895104895105</v>
      </c>
      <c r="R32" s="80">
        <f t="shared" si="5"/>
        <v>0.91112574061882823</v>
      </c>
      <c r="S32" s="80">
        <f t="shared" si="5"/>
        <v>4.7053116662624302E-2</v>
      </c>
      <c r="T32" s="80">
        <v>0</v>
      </c>
      <c r="U32" s="80">
        <f t="shared" si="5"/>
        <v>0.26006144393241165</v>
      </c>
      <c r="V32" s="80">
        <f t="shared" si="5"/>
        <v>0.64025245441795231</v>
      </c>
      <c r="W32" s="80">
        <f t="shared" si="5"/>
        <v>0.85032258064516131</v>
      </c>
      <c r="X32" s="80">
        <f t="shared" si="5"/>
        <v>0.31277808676307006</v>
      </c>
      <c r="Y32" s="80">
        <f t="shared" si="5"/>
        <v>0.30978865406006673</v>
      </c>
      <c r="Z32" s="80">
        <f t="shared" si="5"/>
        <v>0.67419354838709677</v>
      </c>
      <c r="AA32" s="80">
        <f t="shared" si="5"/>
        <v>0.53064516129032258</v>
      </c>
      <c r="AB32" s="80">
        <f t="shared" si="5"/>
        <v>0.3</v>
      </c>
      <c r="AC32" s="80">
        <f t="shared" ref="AC32:AH32" si="6">+AC31/AC30</f>
        <v>0.63064516129032255</v>
      </c>
      <c r="AD32" s="80">
        <f t="shared" si="6"/>
        <v>0.85825477817175477</v>
      </c>
      <c r="AE32" s="80">
        <f t="shared" si="6"/>
        <v>0.37220843672456577</v>
      </c>
      <c r="AF32" s="80">
        <f t="shared" si="6"/>
        <v>0.13399503722084366</v>
      </c>
      <c r="AG32" s="80">
        <f t="shared" si="6"/>
        <v>0.78712343375099969</v>
      </c>
      <c r="AH32" s="80">
        <f t="shared" si="6"/>
        <v>0.72526881720430103</v>
      </c>
      <c r="AI32" s="80">
        <f t="shared" ref="AI32:AR32" si="7">+AI31/AI30</f>
        <v>0.46552814674256798</v>
      </c>
      <c r="AJ32" s="80">
        <f t="shared" si="7"/>
        <v>0.80824372759856633</v>
      </c>
      <c r="AK32" s="80">
        <f t="shared" si="7"/>
        <v>0.56072106261859578</v>
      </c>
      <c r="AL32" s="80">
        <f t="shared" si="7"/>
        <v>0.53630514210577374</v>
      </c>
      <c r="AM32" s="80">
        <f t="shared" si="7"/>
        <v>0.51272635391223786</v>
      </c>
      <c r="AN32" s="80">
        <f t="shared" si="7"/>
        <v>0.61731748726655344</v>
      </c>
      <c r="AO32" s="80">
        <f t="shared" si="7"/>
        <v>0.53429006858013717</v>
      </c>
      <c r="AP32" s="80">
        <f t="shared" si="7"/>
        <v>0.69777433441329761</v>
      </c>
      <c r="AQ32" s="80">
        <f t="shared" si="7"/>
        <v>0.50769958125084425</v>
      </c>
      <c r="AR32" s="80">
        <f t="shared" si="7"/>
        <v>0.49791437980241493</v>
      </c>
    </row>
    <row r="33" spans="1:47" x14ac:dyDescent="0.2">
      <c r="A33" s="20"/>
      <c r="B33" s="20">
        <v>1</v>
      </c>
      <c r="C33" s="20">
        <v>1</v>
      </c>
      <c r="D33" s="20">
        <v>1</v>
      </c>
      <c r="E33" s="20"/>
      <c r="F33" s="20">
        <v>1</v>
      </c>
      <c r="G33" s="20">
        <v>1</v>
      </c>
      <c r="H33" s="20">
        <v>1</v>
      </c>
      <c r="I33" s="20">
        <v>1</v>
      </c>
      <c r="J33" s="20"/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/>
      <c r="U33" s="20">
        <v>1</v>
      </c>
      <c r="V33" s="20">
        <v>1</v>
      </c>
      <c r="W33" s="20">
        <v>1</v>
      </c>
      <c r="X33" s="20">
        <v>1</v>
      </c>
      <c r="Y33" s="20">
        <v>1</v>
      </c>
      <c r="Z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20">
        <v>1</v>
      </c>
      <c r="AJ33" s="20">
        <v>1</v>
      </c>
      <c r="AK33" s="20">
        <v>1</v>
      </c>
      <c r="AL33" s="78">
        <f>SUM(B33:AK33)</f>
        <v>33</v>
      </c>
      <c r="AM33" s="20">
        <f>+AC33+S33+X33+AD33+AG33+U33+AJ33</f>
        <v>7</v>
      </c>
      <c r="AN33" s="20">
        <f>+D33+I33+O33+R33+T33+Z33+E33+Y33+AH33+F33</f>
        <v>8</v>
      </c>
      <c r="AO33">
        <f>+B33+Q33+AE33+AK33+AI33+L33+M33+W33+V33+AB33+N33+K33+H33+G33+J33+P33+C33+AA33+AF33</f>
        <v>18</v>
      </c>
      <c r="AP33" s="20">
        <f>+R33+W33+Z33+AK33+O33+I33+F33</f>
        <v>7</v>
      </c>
      <c r="AQ33" s="20">
        <f>+B33+D33+K33+L33+M33+Q33+S33+T33+X33+AC33+AD33+AE33+AG33+AI33+U33+E33+AJ33+Y33+N33+G33+AH33+AA33+AF33</f>
        <v>21</v>
      </c>
      <c r="AR33" s="20">
        <f>+AB33+V33+H33+J33+P33+C33</f>
        <v>5</v>
      </c>
    </row>
    <row r="34" spans="1:47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 t="s">
        <v>213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C34" s="20"/>
      <c r="AD34" s="20"/>
      <c r="AE34" s="20"/>
      <c r="AF34" s="20" t="s">
        <v>15</v>
      </c>
      <c r="AG34" s="20"/>
      <c r="AH34" s="20"/>
      <c r="AI34" s="20"/>
      <c r="AJ34" s="20"/>
      <c r="AK34" s="20"/>
      <c r="AL34" s="73"/>
      <c r="AM34" s="20"/>
      <c r="AN34" s="20"/>
      <c r="AO34" s="20"/>
      <c r="AP34" s="20"/>
      <c r="AQ34" s="20"/>
      <c r="AR34" s="20"/>
    </row>
    <row r="35" spans="1:47" x14ac:dyDescent="0.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1"/>
      <c r="AD35" s="1"/>
      <c r="AE35" s="1"/>
      <c r="AF35" s="1"/>
      <c r="AG35" s="1"/>
      <c r="AH35" s="1"/>
      <c r="AL35" s="5"/>
    </row>
    <row r="36" spans="1:47" x14ac:dyDescent="0.2">
      <c r="A36" t="s">
        <v>1</v>
      </c>
      <c r="B36" s="38">
        <v>690</v>
      </c>
      <c r="C36" s="38">
        <v>1200</v>
      </c>
      <c r="D36" s="38">
        <v>1590</v>
      </c>
      <c r="E36" s="38"/>
      <c r="F36" s="38">
        <v>3210</v>
      </c>
      <c r="G36" s="38">
        <v>510</v>
      </c>
      <c r="H36" s="38">
        <v>420</v>
      </c>
      <c r="I36" s="38">
        <v>2460</v>
      </c>
      <c r="J36" s="38"/>
      <c r="K36" s="38">
        <v>1950</v>
      </c>
      <c r="L36" s="38">
        <v>0</v>
      </c>
      <c r="M36" s="38">
        <v>750</v>
      </c>
      <c r="N36" s="38">
        <v>420</v>
      </c>
      <c r="O36" s="38">
        <v>2160</v>
      </c>
      <c r="P36" s="38">
        <v>420</v>
      </c>
      <c r="Q36" s="38">
        <v>0</v>
      </c>
      <c r="R36" s="38">
        <v>2910</v>
      </c>
      <c r="S36" s="38">
        <v>7980</v>
      </c>
      <c r="T36" s="38">
        <v>0</v>
      </c>
      <c r="U36" s="38">
        <f>202*30</f>
        <v>6060</v>
      </c>
      <c r="V36" s="38">
        <v>1380</v>
      </c>
      <c r="W36" s="38">
        <v>750</v>
      </c>
      <c r="X36" s="38">
        <v>13920</v>
      </c>
      <c r="Y36" s="38">
        <v>1740</v>
      </c>
      <c r="Z36" s="38">
        <v>1200</v>
      </c>
      <c r="AA36" s="38">
        <v>600</v>
      </c>
      <c r="AB36" s="38">
        <v>900</v>
      </c>
      <c r="AC36" s="38">
        <v>5400</v>
      </c>
      <c r="AD36" s="38">
        <v>11190</v>
      </c>
      <c r="AE36" s="38">
        <v>390</v>
      </c>
      <c r="AF36" s="38">
        <v>420</v>
      </c>
      <c r="AG36" s="38">
        <v>7260</v>
      </c>
      <c r="AH36" s="38">
        <v>1800</v>
      </c>
      <c r="AI36" s="38">
        <v>1530</v>
      </c>
      <c r="AJ36" s="38">
        <v>5400</v>
      </c>
      <c r="AK36" s="38">
        <v>1020</v>
      </c>
      <c r="AL36" s="79">
        <f>SUM(B36:AK36)</f>
        <v>87630</v>
      </c>
      <c r="AM36">
        <f>+AC36+S36+X36+AD36+AG36+U36+AJ36</f>
        <v>57210</v>
      </c>
      <c r="AN36" s="20">
        <f>+D36+I36+O36+R36+T36+Z36+E36+Y36+AH36+F36</f>
        <v>17070</v>
      </c>
      <c r="AO36">
        <f>+B36+Q36+AE36+AK36+AI36+L36+M36+W36+V36+AB36+N36+K36+H36+G36+J36+P36+C36+AA36+AF36</f>
        <v>13350</v>
      </c>
      <c r="AP36">
        <f>+R36+W36+Z36+AK36+O36+I36+F36</f>
        <v>13710</v>
      </c>
      <c r="AQ36" s="20">
        <f>+B36+D36+K36+L36+M36+Q36+S36+T36+X36+AC36+AD36+AE36+AG36+AI36+U36+E36+AJ36+Y36+N36+G36+AH36+AA36+AF36</f>
        <v>69600</v>
      </c>
      <c r="AR36" s="20">
        <f>+AB36+V36+H36+J36+P36+C36</f>
        <v>4320</v>
      </c>
      <c r="AS36">
        <f>+AM36+AN36+AO36</f>
        <v>87630</v>
      </c>
      <c r="AT36">
        <f>+AP36+AQ36+AR36</f>
        <v>87630</v>
      </c>
      <c r="AU36">
        <f>+AR36+AQ36+AP36</f>
        <v>87630</v>
      </c>
    </row>
    <row r="37" spans="1:47" x14ac:dyDescent="0.2">
      <c r="A37" t="s">
        <v>2</v>
      </c>
      <c r="B37" s="38">
        <v>103</v>
      </c>
      <c r="C37" s="38">
        <v>335</v>
      </c>
      <c r="D37" s="38">
        <v>239</v>
      </c>
      <c r="E37" s="38"/>
      <c r="F37" s="38">
        <v>1451</v>
      </c>
      <c r="G37" s="38">
        <v>385</v>
      </c>
      <c r="H37" s="38">
        <v>75</v>
      </c>
      <c r="I37" s="38">
        <v>1178</v>
      </c>
      <c r="J37" s="38"/>
      <c r="K37" s="38">
        <v>1716</v>
      </c>
      <c r="L37" s="38">
        <v>0</v>
      </c>
      <c r="M37" s="38">
        <v>495</v>
      </c>
      <c r="N37" s="38">
        <v>25</v>
      </c>
      <c r="O37" s="38">
        <v>736</v>
      </c>
      <c r="P37" s="38">
        <v>185</v>
      </c>
      <c r="Q37" s="38">
        <v>0</v>
      </c>
      <c r="R37" s="38">
        <v>2654</v>
      </c>
      <c r="S37" s="38">
        <v>319</v>
      </c>
      <c r="T37" s="38">
        <v>0</v>
      </c>
      <c r="U37" s="38">
        <v>1933</v>
      </c>
      <c r="V37" s="38">
        <v>993</v>
      </c>
      <c r="W37" s="38">
        <v>668</v>
      </c>
      <c r="X37" s="38">
        <v>5498</v>
      </c>
      <c r="Y37" s="38">
        <v>539</v>
      </c>
      <c r="Z37" s="38">
        <f>+Z36*0.8</f>
        <v>960</v>
      </c>
      <c r="AA37" s="38">
        <f>+AA36*0.7</f>
        <v>420</v>
      </c>
      <c r="AB37" s="38">
        <f>+AB36*0.25</f>
        <v>225</v>
      </c>
      <c r="AC37" s="38">
        <v>3268</v>
      </c>
      <c r="AD37" s="38">
        <v>8606</v>
      </c>
      <c r="AE37" s="38">
        <v>197</v>
      </c>
      <c r="AF37" s="38">
        <v>42</v>
      </c>
      <c r="AG37" s="38">
        <v>5267</v>
      </c>
      <c r="AH37" s="38">
        <v>992</v>
      </c>
      <c r="AI37" s="38">
        <v>773</v>
      </c>
      <c r="AJ37" s="38">
        <v>4603</v>
      </c>
      <c r="AK37" s="38">
        <v>503</v>
      </c>
      <c r="AL37" s="79">
        <f>SUM(B37:AK37)</f>
        <v>45383</v>
      </c>
      <c r="AM37">
        <f>+AC37+S37+X37+AD37+AG37+U37+AJ37</f>
        <v>29494</v>
      </c>
      <c r="AN37" s="48">
        <f>+D37+I37+O37+R37+T37+Z37+E37+Y37+AH37+F37</f>
        <v>8749</v>
      </c>
      <c r="AO37">
        <f>+B37+Q37+AE37+AK37+AI37+L37+M37+W37+V37+AB37+N37+K37+H37+G37+J37+P37+C37+AA37+AF37</f>
        <v>7140</v>
      </c>
      <c r="AP37">
        <f>+R37+W37+Z37+AK37+O37+I37+F37</f>
        <v>8150</v>
      </c>
      <c r="AQ37" s="20">
        <f>+B37+D37+K37+L37+M37+Q37+S37+T37+X37+AC37+AD37+AE37+AG37+AI37+U37+E37+AJ37+Y37+N37+G37+AH37+AA37+AF37</f>
        <v>35420</v>
      </c>
      <c r="AR37" s="20">
        <f>+AB37+V37+H37+J37+P37+C37</f>
        <v>1813</v>
      </c>
      <c r="AS37">
        <f>+AM37+AN37+AO37</f>
        <v>45383</v>
      </c>
      <c r="AT37">
        <f>+AP37+AQ37+AR37</f>
        <v>45383</v>
      </c>
      <c r="AU37">
        <f>+AR37+AQ37+AP37</f>
        <v>45383</v>
      </c>
    </row>
    <row r="38" spans="1:47" x14ac:dyDescent="0.2">
      <c r="A38" t="s">
        <v>4</v>
      </c>
      <c r="B38" s="80">
        <f>+B37/B36</f>
        <v>0.14927536231884059</v>
      </c>
      <c r="C38" s="80">
        <f>+C37/C36</f>
        <v>0.27916666666666667</v>
      </c>
      <c r="D38" s="80">
        <f>+D37/D36</f>
        <v>0.15031446540880503</v>
      </c>
      <c r="E38" s="80"/>
      <c r="F38" s="80">
        <f t="shared" ref="F38:P38" si="8">+F37/F36</f>
        <v>0.45202492211838008</v>
      </c>
      <c r="G38" s="80">
        <f t="shared" si="8"/>
        <v>0.75490196078431371</v>
      </c>
      <c r="H38" s="80">
        <f t="shared" si="8"/>
        <v>0.17857142857142858</v>
      </c>
      <c r="I38" s="80">
        <f t="shared" si="8"/>
        <v>0.4788617886178862</v>
      </c>
      <c r="J38" s="80"/>
      <c r="K38" s="80">
        <f t="shared" si="8"/>
        <v>0.88</v>
      </c>
      <c r="L38" s="80">
        <v>0</v>
      </c>
      <c r="M38" s="80">
        <f t="shared" si="8"/>
        <v>0.66</v>
      </c>
      <c r="N38" s="80">
        <f t="shared" si="8"/>
        <v>5.9523809523809521E-2</v>
      </c>
      <c r="O38" s="80">
        <f t="shared" si="8"/>
        <v>0.34074074074074073</v>
      </c>
      <c r="P38" s="80">
        <f t="shared" si="8"/>
        <v>0.44047619047619047</v>
      </c>
      <c r="Q38" s="80">
        <v>0</v>
      </c>
      <c r="R38" s="80">
        <f t="shared" ref="R38:AR38" si="9">+R37/R36</f>
        <v>0.91202749140893469</v>
      </c>
      <c r="S38" s="80">
        <f t="shared" si="9"/>
        <v>3.9974937343358399E-2</v>
      </c>
      <c r="T38" s="80">
        <v>0</v>
      </c>
      <c r="U38" s="80">
        <f t="shared" si="9"/>
        <v>0.318976897689769</v>
      </c>
      <c r="V38" s="80">
        <f t="shared" si="9"/>
        <v>0.7195652173913043</v>
      </c>
      <c r="W38" s="80">
        <f t="shared" si="9"/>
        <v>0.89066666666666672</v>
      </c>
      <c r="X38" s="80">
        <f t="shared" si="9"/>
        <v>0.3949712643678161</v>
      </c>
      <c r="Y38" s="80">
        <f t="shared" si="9"/>
        <v>0.30977011494252876</v>
      </c>
      <c r="Z38" s="80">
        <f t="shared" si="9"/>
        <v>0.8</v>
      </c>
      <c r="AA38" s="80">
        <f t="shared" si="9"/>
        <v>0.7</v>
      </c>
      <c r="AB38" s="80">
        <f t="shared" si="9"/>
        <v>0.25</v>
      </c>
      <c r="AC38" s="80">
        <f t="shared" si="9"/>
        <v>0.60518518518518516</v>
      </c>
      <c r="AD38" s="80">
        <f t="shared" si="9"/>
        <v>0.76907953529937445</v>
      </c>
      <c r="AE38" s="80">
        <f t="shared" si="9"/>
        <v>0.50512820512820511</v>
      </c>
      <c r="AF38" s="80">
        <f t="shared" si="9"/>
        <v>0.1</v>
      </c>
      <c r="AG38" s="80">
        <f t="shared" si="9"/>
        <v>0.72548209366391181</v>
      </c>
      <c r="AH38" s="80">
        <f t="shared" si="9"/>
        <v>0.55111111111111111</v>
      </c>
      <c r="AI38" s="80">
        <f t="shared" si="9"/>
        <v>0.50522875816993462</v>
      </c>
      <c r="AJ38" s="80">
        <f t="shared" si="9"/>
        <v>0.85240740740740739</v>
      </c>
      <c r="AK38" s="80">
        <f t="shared" si="9"/>
        <v>0.49313725490196081</v>
      </c>
      <c r="AL38" s="80">
        <f t="shared" si="9"/>
        <v>0.51789341549697587</v>
      </c>
      <c r="AM38" s="80">
        <f t="shared" si="9"/>
        <v>0.5155392413913652</v>
      </c>
      <c r="AN38" s="80">
        <f t="shared" si="9"/>
        <v>0.51253661394258931</v>
      </c>
      <c r="AO38" s="80">
        <f t="shared" si="9"/>
        <v>0.53483146067415732</v>
      </c>
      <c r="AP38" s="80">
        <f t="shared" si="9"/>
        <v>0.5944566010211525</v>
      </c>
      <c r="AQ38" s="80">
        <f t="shared" si="9"/>
        <v>0.50890804597701145</v>
      </c>
      <c r="AR38" s="80">
        <f t="shared" si="9"/>
        <v>0.41967592592592595</v>
      </c>
    </row>
    <row r="39" spans="1:47" x14ac:dyDescent="0.2">
      <c r="A39" s="20"/>
      <c r="B39" s="20">
        <v>1</v>
      </c>
      <c r="C39" s="20">
        <v>1</v>
      </c>
      <c r="D39" s="20">
        <v>1</v>
      </c>
      <c r="E39" s="20"/>
      <c r="F39" s="20">
        <v>1</v>
      </c>
      <c r="G39" s="20">
        <v>1</v>
      </c>
      <c r="H39" s="20">
        <v>1</v>
      </c>
      <c r="I39" s="20">
        <v>1</v>
      </c>
      <c r="J39" s="20"/>
      <c r="K39" s="20">
        <v>1</v>
      </c>
      <c r="L39" s="20"/>
      <c r="M39" s="20">
        <v>1</v>
      </c>
      <c r="N39" s="20">
        <v>1</v>
      </c>
      <c r="O39" s="20">
        <v>1</v>
      </c>
      <c r="P39" s="20">
        <v>1</v>
      </c>
      <c r="Q39" s="20"/>
      <c r="R39" s="20">
        <v>1</v>
      </c>
      <c r="S39" s="20">
        <v>1</v>
      </c>
      <c r="T39" s="20"/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20">
        <v>1</v>
      </c>
      <c r="AJ39" s="20">
        <v>1</v>
      </c>
      <c r="AK39" s="20">
        <v>1</v>
      </c>
      <c r="AL39" s="79">
        <f>SUM(B39:AK39)</f>
        <v>31</v>
      </c>
      <c r="AM39" s="20">
        <f>+AC39+S39+X39+AD39+AG39+U39+AJ39</f>
        <v>7</v>
      </c>
      <c r="AN39" s="20">
        <f>+D39+I39+O39+R39+T39+Z39+E39+Y39+AH39+F39</f>
        <v>8</v>
      </c>
      <c r="AO39">
        <f>+B39+Q39+AE39+AK39+AI39+L39+M39+W39+V39+AB39+N39+K39+H39+G39+J39+P39+C39+AA39+AF39</f>
        <v>16</v>
      </c>
      <c r="AP39" s="20">
        <f>+R39+W39+Z39+AK39+O39+I39+F39</f>
        <v>7</v>
      </c>
      <c r="AQ39" s="20">
        <f>+B39+D39+K39+L39+M39+Q39+S39+T39+X39+AC39+AD39+AE39+AG39+AI39+U39+E39+AJ39+Y39+N39+G39+AH39+AA39+AF39</f>
        <v>19</v>
      </c>
      <c r="AR39" s="20">
        <f>+AB39+V39+H39+J39+P39+C39</f>
        <v>5</v>
      </c>
    </row>
    <row r="40" spans="1:47" x14ac:dyDescent="0.2">
      <c r="I40" s="5"/>
      <c r="J40" s="5"/>
    </row>
    <row r="41" spans="1:47" x14ac:dyDescent="0.2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1"/>
      <c r="AC41" s="1"/>
      <c r="AD41" s="1"/>
      <c r="AE41" s="1"/>
      <c r="AF41" s="1"/>
      <c r="AG41" s="1"/>
      <c r="AH41" s="1"/>
      <c r="AI41" s="1"/>
      <c r="AL41" s="5"/>
    </row>
    <row r="42" spans="1:47" x14ac:dyDescent="0.2">
      <c r="A42" t="s">
        <v>1</v>
      </c>
      <c r="B42" s="38">
        <v>713</v>
      </c>
      <c r="C42" s="38">
        <f>40*31</f>
        <v>1240</v>
      </c>
      <c r="D42" s="38">
        <v>1643</v>
      </c>
      <c r="E42" s="38"/>
      <c r="F42" s="38">
        <v>3317</v>
      </c>
      <c r="G42" s="38">
        <v>527</v>
      </c>
      <c r="H42" s="38">
        <v>434</v>
      </c>
      <c r="I42" s="38">
        <v>2542</v>
      </c>
      <c r="J42" s="38"/>
      <c r="K42" s="38">
        <v>2015</v>
      </c>
      <c r="L42" s="38">
        <v>0</v>
      </c>
      <c r="M42" s="38">
        <v>775</v>
      </c>
      <c r="N42" s="38">
        <v>434</v>
      </c>
      <c r="O42" s="38">
        <v>2232</v>
      </c>
      <c r="P42" s="38">
        <v>434</v>
      </c>
      <c r="Q42" s="38"/>
      <c r="R42" s="38">
        <v>3038</v>
      </c>
      <c r="S42" s="38">
        <v>8246</v>
      </c>
      <c r="T42" s="38">
        <v>0</v>
      </c>
      <c r="U42" s="38">
        <v>6510</v>
      </c>
      <c r="V42" s="38">
        <v>1426</v>
      </c>
      <c r="W42" s="38">
        <v>775</v>
      </c>
      <c r="X42" s="38">
        <v>14384</v>
      </c>
      <c r="Y42" s="38">
        <v>1798</v>
      </c>
      <c r="Z42" s="38">
        <v>1240</v>
      </c>
      <c r="AA42" s="38">
        <v>620</v>
      </c>
      <c r="AB42" s="38">
        <v>930</v>
      </c>
      <c r="AC42" s="38">
        <v>5580</v>
      </c>
      <c r="AD42" s="38">
        <v>11563</v>
      </c>
      <c r="AE42" s="38">
        <v>403</v>
      </c>
      <c r="AF42" s="38">
        <v>434</v>
      </c>
      <c r="AG42" s="38">
        <v>7502</v>
      </c>
      <c r="AH42" s="38">
        <v>1860</v>
      </c>
      <c r="AI42" s="38">
        <v>1581</v>
      </c>
      <c r="AJ42" s="38">
        <v>5580</v>
      </c>
      <c r="AK42" s="38">
        <v>1054</v>
      </c>
      <c r="AL42" s="82">
        <f>SUM(B42:AK42)</f>
        <v>90830</v>
      </c>
      <c r="AM42">
        <f>+AC42+S42+X42+AD42+AG42+U42+AJ42</f>
        <v>59365</v>
      </c>
      <c r="AN42" s="20">
        <f>+D42+I42+O42+R42+T42+Z42+E42+Y42+AH42+F42</f>
        <v>17670</v>
      </c>
      <c r="AO42">
        <f>+B42+Q42+AE42+AK42+AI42+L42+M42+W42+V42+AB42+N42+K42+H42+G42+J42+P42+C42+AA42+AF42</f>
        <v>13795</v>
      </c>
      <c r="AP42">
        <f>+R42+W42+Z42+AK42+O42+I42+F42</f>
        <v>14198</v>
      </c>
      <c r="AQ42" s="20">
        <f>+B42+D42+K42+L42+M42+Q42+S42+T42+X42+AC42+AD42+AE42+AG42+AI42+U42+E42+AJ42+Y42+N42+G42+AH42+AA42+AF42</f>
        <v>72168</v>
      </c>
      <c r="AR42" s="20">
        <f>+AB42+V42+H42+J42+P42+C42</f>
        <v>4464</v>
      </c>
      <c r="AS42">
        <f>+AM42+AN42+AO42</f>
        <v>90830</v>
      </c>
      <c r="AT42">
        <f>+AP42+AQ42+AR42</f>
        <v>90830</v>
      </c>
      <c r="AU42">
        <f>+AR42+AQ42+AP42</f>
        <v>90830</v>
      </c>
    </row>
    <row r="43" spans="1:47" x14ac:dyDescent="0.2">
      <c r="A43" t="s">
        <v>2</v>
      </c>
      <c r="B43" s="45">
        <v>200</v>
      </c>
      <c r="C43" s="45">
        <v>242</v>
      </c>
      <c r="D43" s="45">
        <v>411</v>
      </c>
      <c r="E43" s="45"/>
      <c r="F43" s="45">
        <v>1791</v>
      </c>
      <c r="G43" s="45">
        <v>327</v>
      </c>
      <c r="H43" s="45">
        <v>242</v>
      </c>
      <c r="I43" s="45">
        <v>1159</v>
      </c>
      <c r="J43" s="45"/>
      <c r="K43" s="45">
        <v>1834</v>
      </c>
      <c r="L43" s="45">
        <v>0</v>
      </c>
      <c r="M43" s="45">
        <v>535</v>
      </c>
      <c r="N43" s="45">
        <v>130</v>
      </c>
      <c r="O43" s="45">
        <v>1089</v>
      </c>
      <c r="P43" s="45">
        <v>251</v>
      </c>
      <c r="Q43" s="45"/>
      <c r="R43" s="45">
        <v>2557</v>
      </c>
      <c r="S43" s="45">
        <v>594</v>
      </c>
      <c r="T43" s="38">
        <v>0</v>
      </c>
      <c r="U43" s="38">
        <v>2734</v>
      </c>
      <c r="V43" s="45">
        <v>1020</v>
      </c>
      <c r="W43" s="45">
        <v>612</v>
      </c>
      <c r="X43" s="45">
        <v>5178</v>
      </c>
      <c r="Y43" s="45">
        <v>881</v>
      </c>
      <c r="Z43" s="45">
        <v>932</v>
      </c>
      <c r="AA43" s="45">
        <v>391</v>
      </c>
      <c r="AB43" s="45">
        <v>307</v>
      </c>
      <c r="AC43" s="45">
        <v>2258</v>
      </c>
      <c r="AD43" s="45">
        <v>8235</v>
      </c>
      <c r="AE43" s="45">
        <v>186</v>
      </c>
      <c r="AF43" s="45">
        <v>106</v>
      </c>
      <c r="AG43" s="45">
        <v>5906</v>
      </c>
      <c r="AH43" s="45">
        <v>770</v>
      </c>
      <c r="AI43" s="45">
        <v>972</v>
      </c>
      <c r="AJ43" s="45">
        <v>5004</v>
      </c>
      <c r="AK43" s="45">
        <v>420</v>
      </c>
      <c r="AL43" s="82">
        <f>SUM(B43:AK43)</f>
        <v>47274</v>
      </c>
      <c r="AM43">
        <f>+AC43+S43+X43+AD43+AG43+U43+AJ43</f>
        <v>29909</v>
      </c>
      <c r="AN43" s="48">
        <f>+D43+I43+O43+R43+T43+Z43+E43+Y43+AH43+F43</f>
        <v>9590</v>
      </c>
      <c r="AO43">
        <f>+B43+Q43+AE43+AK43+AI43+L43+M43+W43+V43+AB43+N43+K43+H43+G43+J43+P43+C43+AA43+AF43</f>
        <v>7775</v>
      </c>
      <c r="AP43">
        <f>+R43+W43+Z43+AK43+O43+I43+F43</f>
        <v>8560</v>
      </c>
      <c r="AQ43" s="20">
        <f>+B43+D43+K43+L43+M43+Q43+S43+T43+X43+AC43+AD43+AE43+AG43+AI43+U43+E43+AJ43+Y43+N43+G43+AH43+AA43+AF43</f>
        <v>36652</v>
      </c>
      <c r="AR43" s="20">
        <f>+AB43+V43+H43+J43+P43+C43</f>
        <v>2062</v>
      </c>
      <c r="AS43">
        <f>+AM43+AN43+AO43</f>
        <v>47274</v>
      </c>
      <c r="AT43">
        <f>+AP43+AQ43+AR43</f>
        <v>47274</v>
      </c>
      <c r="AU43">
        <f>+AR43+AQ43+AP43</f>
        <v>47274</v>
      </c>
    </row>
    <row r="44" spans="1:47" x14ac:dyDescent="0.2">
      <c r="A44" t="s">
        <v>4</v>
      </c>
      <c r="B44" s="3">
        <f>+B43/B42</f>
        <v>0.28050490883590462</v>
      </c>
      <c r="C44" s="3">
        <f>+C43/C42</f>
        <v>0.19516129032258064</v>
      </c>
      <c r="D44" s="3">
        <f>+D43/D42</f>
        <v>0.25015216068167984</v>
      </c>
      <c r="E44" s="3"/>
      <c r="F44" s="3">
        <f t="shared" ref="F44:N44" si="10">+F43/F42</f>
        <v>0.53994573409707569</v>
      </c>
      <c r="G44" s="3">
        <f t="shared" si="10"/>
        <v>0.62049335863377608</v>
      </c>
      <c r="H44" s="3">
        <f t="shared" si="10"/>
        <v>0.55760368663594473</v>
      </c>
      <c r="I44" s="3">
        <f t="shared" si="10"/>
        <v>0.45594020456333595</v>
      </c>
      <c r="J44" s="3"/>
      <c r="K44" s="3">
        <f t="shared" si="10"/>
        <v>0.91017369727047148</v>
      </c>
      <c r="L44" s="80">
        <v>0</v>
      </c>
      <c r="M44" s="3">
        <f t="shared" si="10"/>
        <v>0.69032258064516128</v>
      </c>
      <c r="N44" s="3">
        <f t="shared" si="10"/>
        <v>0.29953917050691242</v>
      </c>
      <c r="O44" s="3">
        <f>+O43/O42</f>
        <v>0.48790322580645162</v>
      </c>
      <c r="P44" s="3">
        <f>+P43/P42</f>
        <v>0.57834101382488479</v>
      </c>
      <c r="Q44" s="3">
        <v>0</v>
      </c>
      <c r="R44" s="3">
        <f t="shared" ref="R44:X44" si="11">+R43/R42</f>
        <v>0.84167215273206053</v>
      </c>
      <c r="S44" s="3">
        <f t="shared" si="11"/>
        <v>7.2034926024739265E-2</v>
      </c>
      <c r="T44" s="80">
        <v>0</v>
      </c>
      <c r="U44" s="80">
        <f t="shared" ref="U44" si="12">+U43/U42</f>
        <v>0.41996927803379414</v>
      </c>
      <c r="V44" s="3">
        <f t="shared" si="11"/>
        <v>0.71528751753155684</v>
      </c>
      <c r="W44" s="3">
        <f t="shared" si="11"/>
        <v>0.78967741935483871</v>
      </c>
      <c r="X44" s="3">
        <f t="shared" si="11"/>
        <v>0.3599833147942158</v>
      </c>
      <c r="Y44" s="3">
        <f>+Y43/Y42</f>
        <v>0.4899888765294772</v>
      </c>
      <c r="Z44" s="3">
        <f>+Z43/Z42</f>
        <v>0.75161290322580643</v>
      </c>
      <c r="AA44" s="3">
        <f t="shared" ref="AA44:AR44" si="13">+AA43/AA42</f>
        <v>0.63064516129032255</v>
      </c>
      <c r="AB44" s="3">
        <f t="shared" si="13"/>
        <v>0.3301075268817204</v>
      </c>
      <c r="AC44" s="3">
        <f t="shared" si="13"/>
        <v>0.40465949820788533</v>
      </c>
      <c r="AD44" s="3">
        <f t="shared" si="13"/>
        <v>0.71218541900890775</v>
      </c>
      <c r="AE44" s="3">
        <f t="shared" si="13"/>
        <v>0.46153846153846156</v>
      </c>
      <c r="AF44" s="3">
        <f t="shared" ref="AF44" si="14">+AF43/AF42</f>
        <v>0.24423963133640553</v>
      </c>
      <c r="AG44" s="3">
        <f t="shared" si="13"/>
        <v>0.78725673153825648</v>
      </c>
      <c r="AH44" s="3">
        <f t="shared" si="13"/>
        <v>0.41397849462365593</v>
      </c>
      <c r="AI44" s="3">
        <f t="shared" si="13"/>
        <v>0.61480075901328268</v>
      </c>
      <c r="AJ44" s="3">
        <f t="shared" si="13"/>
        <v>0.89677419354838706</v>
      </c>
      <c r="AK44" s="3">
        <f t="shared" si="13"/>
        <v>0.39848197343453512</v>
      </c>
      <c r="AL44" s="80">
        <f t="shared" si="13"/>
        <v>0.52046680612132556</v>
      </c>
      <c r="AM44" s="80">
        <f t="shared" si="13"/>
        <v>0.50381537943232546</v>
      </c>
      <c r="AN44" s="80">
        <f t="shared" si="13"/>
        <v>0.5427277872099604</v>
      </c>
      <c r="AO44" s="80">
        <f t="shared" si="13"/>
        <v>0.56361000362450164</v>
      </c>
      <c r="AP44" s="80">
        <f t="shared" si="13"/>
        <v>0.60290181715734614</v>
      </c>
      <c r="AQ44" s="80">
        <f t="shared" si="13"/>
        <v>0.50787052433211399</v>
      </c>
      <c r="AR44" s="80">
        <f t="shared" si="13"/>
        <v>0.46191756272401435</v>
      </c>
    </row>
    <row r="45" spans="1:47" x14ac:dyDescent="0.2">
      <c r="A45" s="20"/>
      <c r="B45" s="38">
        <v>1</v>
      </c>
      <c r="C45" s="38">
        <v>1</v>
      </c>
      <c r="D45" s="39">
        <v>1</v>
      </c>
      <c r="E45" s="39"/>
      <c r="F45" s="39">
        <v>1</v>
      </c>
      <c r="G45" s="39">
        <v>1</v>
      </c>
      <c r="H45" s="39">
        <v>1</v>
      </c>
      <c r="I45" s="39">
        <v>1</v>
      </c>
      <c r="J45" s="39"/>
      <c r="K45" s="39">
        <v>1</v>
      </c>
      <c r="L45" s="39"/>
      <c r="M45" s="39">
        <v>1</v>
      </c>
      <c r="N45" s="39">
        <v>1</v>
      </c>
      <c r="O45" s="39">
        <v>1</v>
      </c>
      <c r="P45" s="39">
        <v>1</v>
      </c>
      <c r="Q45" s="39"/>
      <c r="R45" s="39">
        <v>1</v>
      </c>
      <c r="S45" s="39">
        <v>1</v>
      </c>
      <c r="T45" s="39"/>
      <c r="U45" s="20">
        <v>1</v>
      </c>
      <c r="V45" s="39">
        <v>1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39">
        <v>1</v>
      </c>
      <c r="AJ45" s="39">
        <v>1</v>
      </c>
      <c r="AK45" s="39">
        <v>1</v>
      </c>
      <c r="AL45" s="82">
        <f>SUM(B45:AK45)</f>
        <v>31</v>
      </c>
      <c r="AM45" s="20">
        <f>+AC45+S45+X45+AD45+AG45+U45+AJ45</f>
        <v>7</v>
      </c>
      <c r="AN45" s="20">
        <f>+D45+I45+O45+R45+T45+Z45+E45+Y45+AH45+F45</f>
        <v>8</v>
      </c>
      <c r="AO45">
        <f>+B45+Q45+AE45+AK45+AI45+L45+M45+W45+V45+AB45+N45+K45+H45+G45+J45+P45+C45+AA45+AF45</f>
        <v>16</v>
      </c>
      <c r="AP45" s="20">
        <f>+R45+W45+Z45+AK45+O45+I45+F45</f>
        <v>7</v>
      </c>
      <c r="AQ45" s="20">
        <f>+B45+D45+K45+L45+M45+Q45+S45+T45+X45+AC45+AD45+AE45+AG45+AI45+U45+E45+AJ45+Y45+N45+G45+AH45+AA45+AF45</f>
        <v>19</v>
      </c>
      <c r="AR45" s="20">
        <f>+AB45+V45+H45+J45+P45+C45</f>
        <v>5</v>
      </c>
    </row>
    <row r="46" spans="1:47" x14ac:dyDescent="0.2">
      <c r="I46" s="40"/>
      <c r="J46" s="40"/>
      <c r="AH46" t="s">
        <v>15</v>
      </c>
    </row>
    <row r="47" spans="1:47" x14ac:dyDescent="0.2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1"/>
      <c r="AC47" s="1"/>
      <c r="AD47" s="1"/>
      <c r="AE47" s="1"/>
      <c r="AF47" s="1"/>
      <c r="AG47" s="1"/>
      <c r="AH47" s="1"/>
      <c r="AL47" s="5"/>
    </row>
    <row r="48" spans="1:47" x14ac:dyDescent="0.2">
      <c r="A48" t="s">
        <v>1</v>
      </c>
      <c r="B48" s="38"/>
      <c r="C48" s="38">
        <v>1240</v>
      </c>
      <c r="D48" s="38">
        <v>1643</v>
      </c>
      <c r="E48" s="38"/>
      <c r="F48" s="38">
        <v>3317</v>
      </c>
      <c r="G48" s="38">
        <v>527</v>
      </c>
      <c r="H48" s="38">
        <v>434</v>
      </c>
      <c r="I48" s="38">
        <f>2542/31*21</f>
        <v>1722</v>
      </c>
      <c r="J48" s="38"/>
      <c r="K48" s="38">
        <v>2015</v>
      </c>
      <c r="L48" s="38"/>
      <c r="M48" s="38">
        <v>775</v>
      </c>
      <c r="N48" s="38"/>
      <c r="O48" s="38">
        <v>1512</v>
      </c>
      <c r="P48" s="38">
        <v>434</v>
      </c>
      <c r="Q48" s="38"/>
      <c r="R48" s="38">
        <v>3007</v>
      </c>
      <c r="S48" s="38">
        <v>8246</v>
      </c>
      <c r="T48" s="38"/>
      <c r="U48" s="38">
        <v>6510</v>
      </c>
      <c r="V48" s="38">
        <v>1426</v>
      </c>
      <c r="W48" s="38">
        <f>775/31*24</f>
        <v>600</v>
      </c>
      <c r="X48" s="38">
        <v>14384</v>
      </c>
      <c r="Y48" s="38">
        <v>1798</v>
      </c>
      <c r="Z48" s="38">
        <f>1240/31*23</f>
        <v>920</v>
      </c>
      <c r="AA48" s="38">
        <v>620</v>
      </c>
      <c r="AB48" s="38">
        <v>930</v>
      </c>
      <c r="AC48" s="38">
        <v>5580</v>
      </c>
      <c r="AD48" s="38">
        <v>11563</v>
      </c>
      <c r="AE48" s="38">
        <v>403</v>
      </c>
      <c r="AF48" s="38">
        <v>286</v>
      </c>
      <c r="AG48" s="38">
        <v>7502</v>
      </c>
      <c r="AH48" s="38">
        <v>1860</v>
      </c>
      <c r="AI48" s="38">
        <v>1581</v>
      </c>
      <c r="AJ48" s="38">
        <v>5549</v>
      </c>
      <c r="AK48" s="38">
        <v>1054</v>
      </c>
      <c r="AL48" s="83">
        <f>SUM(B48:AK48)</f>
        <v>87438</v>
      </c>
      <c r="AM48">
        <f>+AC48+S48+X48+AD48+AG48+U48+AJ48</f>
        <v>59334</v>
      </c>
      <c r="AN48" s="20">
        <f>+D48+I48+O48+R48+T48+Z48+E48+Y48+AH48+F48</f>
        <v>15779</v>
      </c>
      <c r="AO48">
        <f>+B48+Q48+AE48+AK48+AI48+L48+M48+W48+V48+AB48+N48+K48+H48+G48+J48+P48+C48+AA48+AF48</f>
        <v>12325</v>
      </c>
      <c r="AP48">
        <f>+R48+W48+Z48+AK48+O48+I48+F48</f>
        <v>12132</v>
      </c>
      <c r="AQ48" s="20">
        <f>+B48+D48+K48+L48+M48+Q48+S48+T48+X48+AC48+AD48+AE48+AG48+AI48+U48+E48+AJ48+Y48+N48+G48+AH48+AA48+AF48</f>
        <v>70842</v>
      </c>
      <c r="AR48" s="20">
        <f>+AB48+V48+H48+J48+P48+C48</f>
        <v>4464</v>
      </c>
      <c r="AS48">
        <f>+AM48+AN48+AO48</f>
        <v>87438</v>
      </c>
      <c r="AT48">
        <f>+AP48+AQ48+AR48</f>
        <v>87438</v>
      </c>
      <c r="AU48">
        <f>+AR48+AQ48+AP48</f>
        <v>87438</v>
      </c>
    </row>
    <row r="49" spans="1:47" x14ac:dyDescent="0.2">
      <c r="A49" t="s">
        <v>2</v>
      </c>
      <c r="B49" s="38"/>
      <c r="C49" s="38">
        <v>650</v>
      </c>
      <c r="D49" s="38">
        <v>526</v>
      </c>
      <c r="E49" s="38"/>
      <c r="F49" s="38">
        <v>1592</v>
      </c>
      <c r="G49" s="38">
        <v>410</v>
      </c>
      <c r="H49" s="38">
        <v>150</v>
      </c>
      <c r="I49" s="38">
        <v>689</v>
      </c>
      <c r="J49" s="38"/>
      <c r="K49" s="45">
        <v>1733</v>
      </c>
      <c r="L49" s="38"/>
      <c r="M49" s="38">
        <v>488</v>
      </c>
      <c r="N49" s="38"/>
      <c r="O49" s="38">
        <v>560</v>
      </c>
      <c r="P49" s="38">
        <v>187</v>
      </c>
      <c r="Q49" s="38"/>
      <c r="R49" s="38">
        <v>1979</v>
      </c>
      <c r="S49" s="38">
        <v>371</v>
      </c>
      <c r="T49" s="38"/>
      <c r="U49" s="38">
        <v>1217</v>
      </c>
      <c r="V49" s="38">
        <v>960</v>
      </c>
      <c r="W49" s="38">
        <f>+W48*0.76</f>
        <v>456</v>
      </c>
      <c r="X49" s="38">
        <v>6047</v>
      </c>
      <c r="Y49" s="38">
        <v>845</v>
      </c>
      <c r="Z49" s="38">
        <v>814</v>
      </c>
      <c r="AA49" s="38">
        <v>341</v>
      </c>
      <c r="AB49" s="38">
        <v>614</v>
      </c>
      <c r="AC49" s="38">
        <v>3201</v>
      </c>
      <c r="AD49" s="38">
        <v>6349</v>
      </c>
      <c r="AE49" s="38">
        <v>226</v>
      </c>
      <c r="AF49" s="38">
        <v>97</v>
      </c>
      <c r="AG49" s="38">
        <v>5114</v>
      </c>
      <c r="AH49" s="38">
        <v>822</v>
      </c>
      <c r="AI49" s="38">
        <v>817</v>
      </c>
      <c r="AJ49" s="38">
        <v>4503</v>
      </c>
      <c r="AK49" s="38">
        <v>331</v>
      </c>
      <c r="AL49" s="83">
        <f>SUM(B49:AK49)</f>
        <v>42089</v>
      </c>
      <c r="AM49">
        <f>+AC49+S49+X49+AD49+AG49+U49+AJ49</f>
        <v>26802</v>
      </c>
      <c r="AN49" s="48">
        <f>+D49+I49+O49+R49+T49+Z49+E49+Y49+AH49+F49</f>
        <v>7827</v>
      </c>
      <c r="AO49">
        <f>+B49+Q49+AE49+AK49+AI49+L49+M49+W49+V49+AB49+N49+K49+H49+G49+J49+P49+C49+AA49+AF49</f>
        <v>7460</v>
      </c>
      <c r="AP49">
        <f>+R49+W49+Z49+AK49+O49+I49+F49</f>
        <v>6421</v>
      </c>
      <c r="AQ49" s="20">
        <f>+B49+D49+K49+L49+M49+Q49+S49+T49+X49+AC49+AD49+AE49+AG49+AI49+U49+E49+AJ49+Y49+N49+G49+AH49+AA49+AF49</f>
        <v>33107</v>
      </c>
      <c r="AR49" s="20">
        <f>+AB49+V49+H49+J49+P49+C49</f>
        <v>2561</v>
      </c>
      <c r="AS49">
        <f>+AM49+AN49+AO49</f>
        <v>42089</v>
      </c>
      <c r="AT49">
        <f>+AP49+AQ49+AR49</f>
        <v>42089</v>
      </c>
      <c r="AU49">
        <f>+AR49+AQ49+AP49</f>
        <v>42089</v>
      </c>
    </row>
    <row r="50" spans="1:47" x14ac:dyDescent="0.2">
      <c r="A50" t="s">
        <v>4</v>
      </c>
      <c r="B50" s="80">
        <v>0</v>
      </c>
      <c r="C50" s="80">
        <f>+C49/C48</f>
        <v>0.52419354838709675</v>
      </c>
      <c r="D50" s="80">
        <f>+D49/D48</f>
        <v>0.32014607425441266</v>
      </c>
      <c r="E50" s="80"/>
      <c r="F50" s="80">
        <f t="shared" ref="F50:M50" si="15">+F49/F48</f>
        <v>0.47995176364184505</v>
      </c>
      <c r="G50" s="80">
        <f t="shared" si="15"/>
        <v>0.77798861480075898</v>
      </c>
      <c r="H50" s="80">
        <f t="shared" si="15"/>
        <v>0.34562211981566821</v>
      </c>
      <c r="I50" s="80">
        <f t="shared" si="15"/>
        <v>0.40011614401858303</v>
      </c>
      <c r="J50" s="80"/>
      <c r="K50" s="80">
        <f t="shared" si="15"/>
        <v>0.86004962779156324</v>
      </c>
      <c r="L50" s="80">
        <v>0</v>
      </c>
      <c r="M50" s="80">
        <f t="shared" si="15"/>
        <v>0.62967741935483867</v>
      </c>
      <c r="N50" s="80">
        <v>0</v>
      </c>
      <c r="O50" s="80">
        <f>+O49/O48</f>
        <v>0.37037037037037035</v>
      </c>
      <c r="P50" s="80">
        <f>+P49/P48</f>
        <v>0.43087557603686638</v>
      </c>
      <c r="Q50" s="80">
        <v>0</v>
      </c>
      <c r="R50" s="80">
        <f t="shared" ref="R50:AR50" si="16">+R49/R48</f>
        <v>0.65813102760226139</v>
      </c>
      <c r="S50" s="80">
        <f t="shared" si="16"/>
        <v>4.4991511035653652E-2</v>
      </c>
      <c r="T50" s="80">
        <v>0</v>
      </c>
      <c r="U50" s="80">
        <f t="shared" si="16"/>
        <v>0.1869431643625192</v>
      </c>
      <c r="V50" s="80">
        <f t="shared" si="16"/>
        <v>0.67321178120617109</v>
      </c>
      <c r="W50" s="80">
        <f t="shared" si="16"/>
        <v>0.76</v>
      </c>
      <c r="X50" s="80">
        <f t="shared" si="16"/>
        <v>0.42039766407119022</v>
      </c>
      <c r="Y50" s="80">
        <f t="shared" si="16"/>
        <v>0.46996662958843161</v>
      </c>
      <c r="Z50" s="80">
        <f t="shared" si="16"/>
        <v>0.88478260869565217</v>
      </c>
      <c r="AA50" s="80">
        <f t="shared" si="16"/>
        <v>0.55000000000000004</v>
      </c>
      <c r="AB50" s="80">
        <f t="shared" si="16"/>
        <v>0.66021505376344081</v>
      </c>
      <c r="AC50" s="80">
        <f t="shared" si="16"/>
        <v>0.57365591397849458</v>
      </c>
      <c r="AD50" s="80">
        <f t="shared" si="16"/>
        <v>0.54907895874772983</v>
      </c>
      <c r="AE50" s="80">
        <f t="shared" si="16"/>
        <v>0.56079404466501237</v>
      </c>
      <c r="AF50" s="80">
        <f t="shared" si="16"/>
        <v>0.33916083916083917</v>
      </c>
      <c r="AG50" s="80">
        <f t="shared" si="16"/>
        <v>0.68168488403092509</v>
      </c>
      <c r="AH50" s="80">
        <f t="shared" si="16"/>
        <v>0.44193548387096776</v>
      </c>
      <c r="AI50" s="80">
        <f t="shared" si="16"/>
        <v>0.51676154332700819</v>
      </c>
      <c r="AJ50" s="80">
        <f t="shared" si="16"/>
        <v>0.8114975671292125</v>
      </c>
      <c r="AK50" s="80">
        <f t="shared" si="16"/>
        <v>0.31404174573055027</v>
      </c>
      <c r="AL50" s="80">
        <f t="shared" si="16"/>
        <v>0.48135821953841579</v>
      </c>
      <c r="AM50" s="80">
        <f t="shared" si="16"/>
        <v>0.45171402568510466</v>
      </c>
      <c r="AN50" s="80">
        <f t="shared" si="16"/>
        <v>0.49603903922935549</v>
      </c>
      <c r="AO50" s="80">
        <f t="shared" si="16"/>
        <v>0.60527383367139964</v>
      </c>
      <c r="AP50" s="80">
        <f t="shared" si="16"/>
        <v>0.52926145730300034</v>
      </c>
      <c r="AQ50" s="80">
        <f t="shared" si="16"/>
        <v>0.46733576127156207</v>
      </c>
      <c r="AR50" s="80">
        <f t="shared" si="16"/>
        <v>0.57370071684587809</v>
      </c>
    </row>
    <row r="51" spans="1:47" x14ac:dyDescent="0.2">
      <c r="A51" s="20"/>
      <c r="B51" s="20"/>
      <c r="C51" s="20">
        <v>1</v>
      </c>
      <c r="D51" s="39">
        <v>1</v>
      </c>
      <c r="E51" s="39"/>
      <c r="F51" s="39">
        <v>1</v>
      </c>
      <c r="G51" s="39">
        <v>1</v>
      </c>
      <c r="H51" s="39">
        <v>1</v>
      </c>
      <c r="I51" s="39">
        <v>1</v>
      </c>
      <c r="J51" s="39"/>
      <c r="K51" s="39">
        <v>1</v>
      </c>
      <c r="L51" s="39"/>
      <c r="M51" s="39">
        <v>1</v>
      </c>
      <c r="N51" s="39"/>
      <c r="O51" s="39">
        <v>1</v>
      </c>
      <c r="P51" s="39">
        <v>1</v>
      </c>
      <c r="Q51" s="39"/>
      <c r="R51" s="39">
        <v>1</v>
      </c>
      <c r="S51" s="39">
        <v>1</v>
      </c>
      <c r="T51" s="39"/>
      <c r="U51" s="39">
        <v>1</v>
      </c>
      <c r="V51" s="39">
        <v>1</v>
      </c>
      <c r="W51" s="39">
        <v>1</v>
      </c>
      <c r="X51" s="39">
        <v>1</v>
      </c>
      <c r="Y51" s="39">
        <v>1</v>
      </c>
      <c r="Z51" s="39">
        <v>1</v>
      </c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39">
        <v>1</v>
      </c>
      <c r="AJ51" s="39">
        <v>1</v>
      </c>
      <c r="AK51" s="39">
        <v>1</v>
      </c>
      <c r="AL51" s="83">
        <f>SUM(B51:AK51)</f>
        <v>29</v>
      </c>
      <c r="AM51" s="20">
        <f>+AC51+S51+X51+AD51+AG51+U51+AJ51</f>
        <v>7</v>
      </c>
      <c r="AN51" s="20">
        <f>+D51+I51+O51+R51+T51+Z51+E51+Y51+AH51+F51</f>
        <v>8</v>
      </c>
      <c r="AO51">
        <f>+B51+Q51+AE51+AK51+AI51+L51+M51+W51+V51+AB51+N51+K51+H51+G51+J51+P51+C51+AA51+AF51</f>
        <v>14</v>
      </c>
      <c r="AP51" s="20">
        <f>+R51+W51+Z51+AK51+O51+I51+F51</f>
        <v>7</v>
      </c>
      <c r="AQ51" s="20">
        <f>+B51+D51+K51+L51+M51+Q51+S51+T51+X51+AC51+AD51+AE51+AG51+AI51+U51+E51+AJ51+Y51+N51+G51+AH51+AA51+AF51</f>
        <v>17</v>
      </c>
      <c r="AR51" s="20">
        <f>+AB51+V51+H51+J51+P51+C51</f>
        <v>5</v>
      </c>
    </row>
    <row r="52" spans="1:47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73"/>
      <c r="AM52" s="20"/>
      <c r="AN52" s="20"/>
      <c r="AO52" s="20"/>
      <c r="AP52" s="20"/>
      <c r="AQ52" s="20"/>
      <c r="AR52" s="20"/>
    </row>
    <row r="53" spans="1:47" x14ac:dyDescent="0.2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1"/>
      <c r="AC53" s="1"/>
      <c r="AD53" s="1"/>
      <c r="AE53" s="1"/>
      <c r="AF53" s="1"/>
      <c r="AG53" s="1"/>
      <c r="AH53" s="1"/>
      <c r="AL53" s="5"/>
    </row>
    <row r="54" spans="1:47" x14ac:dyDescent="0.2">
      <c r="A54" t="s">
        <v>1</v>
      </c>
      <c r="B54" s="38"/>
      <c r="C54" s="38">
        <v>1200</v>
      </c>
      <c r="D54" s="38">
        <v>1590</v>
      </c>
      <c r="E54" s="38"/>
      <c r="F54" s="38">
        <v>3210</v>
      </c>
      <c r="G54" s="38">
        <v>510</v>
      </c>
      <c r="H54" s="38">
        <v>420</v>
      </c>
      <c r="I54" s="38">
        <v>0</v>
      </c>
      <c r="J54" s="38"/>
      <c r="K54" s="38">
        <f>65*30</f>
        <v>1950</v>
      </c>
      <c r="L54" s="38">
        <v>0</v>
      </c>
      <c r="M54" s="38">
        <v>750</v>
      </c>
      <c r="N54" s="38">
        <v>0</v>
      </c>
      <c r="O54" s="38">
        <v>0</v>
      </c>
      <c r="P54" s="38">
        <v>420</v>
      </c>
      <c r="Q54" s="38"/>
      <c r="R54" s="38">
        <v>2910</v>
      </c>
      <c r="S54" s="38">
        <v>7980</v>
      </c>
      <c r="T54" s="38">
        <v>0</v>
      </c>
      <c r="U54" s="38">
        <v>6060</v>
      </c>
      <c r="V54" s="38">
        <v>1380</v>
      </c>
      <c r="W54" s="38">
        <v>750</v>
      </c>
      <c r="X54" s="38">
        <v>13920</v>
      </c>
      <c r="Y54" s="38">
        <v>0</v>
      </c>
      <c r="Z54" s="38">
        <v>0</v>
      </c>
      <c r="AA54" s="38">
        <v>600</v>
      </c>
      <c r="AB54" s="38">
        <v>900</v>
      </c>
      <c r="AC54" s="38">
        <v>5400</v>
      </c>
      <c r="AD54" s="38">
        <v>11190</v>
      </c>
      <c r="AE54" s="38">
        <v>390</v>
      </c>
      <c r="AF54" s="38"/>
      <c r="AG54" s="38">
        <v>7260</v>
      </c>
      <c r="AH54" s="38">
        <v>1800</v>
      </c>
      <c r="AI54" s="38">
        <v>1530</v>
      </c>
      <c r="AJ54" s="38">
        <v>5370</v>
      </c>
      <c r="AK54" s="38"/>
      <c r="AL54" s="85">
        <f>SUM(B54:AK54)</f>
        <v>77490</v>
      </c>
      <c r="AM54">
        <f>+AC54+S54+X54+AD54+AG54+U54+AJ54</f>
        <v>57180</v>
      </c>
      <c r="AN54" s="20">
        <f>+D54+I54+O54+R54+T54+Z54+E54+Y54+AH54+F54</f>
        <v>9510</v>
      </c>
      <c r="AO54">
        <f>+B54+Q54+AE54+AK54+AI54+L54+M54+W54+V54+AB54+N54+K54+H54+G54+J54+P54+C54+AA54+AF54</f>
        <v>10800</v>
      </c>
      <c r="AP54">
        <f>+R54+W54+Z54+AK54+O54+I54+F54</f>
        <v>6870</v>
      </c>
      <c r="AQ54" s="20">
        <f>+B54+D54+K54+L54+M54+Q54+S54+T54+X54+AC54+AD54+AE54+AG54+AI54+U54+E54+AJ54+Y54+N54+G54+AH54+AA54+AF54</f>
        <v>66300</v>
      </c>
      <c r="AR54" s="20">
        <f>+AB54+V54+H54+J54+P54+C54</f>
        <v>4320</v>
      </c>
      <c r="AS54">
        <f>+AM54+AN54+AO54</f>
        <v>77490</v>
      </c>
      <c r="AT54">
        <f>+AP54+AQ54+AR54</f>
        <v>77490</v>
      </c>
      <c r="AU54">
        <f>+AR54+AQ54+AP54</f>
        <v>77490</v>
      </c>
    </row>
    <row r="55" spans="1:47" x14ac:dyDescent="0.2">
      <c r="A55" t="s">
        <v>2</v>
      </c>
      <c r="B55" s="38"/>
      <c r="C55" s="38">
        <v>782</v>
      </c>
      <c r="D55" s="38">
        <v>223</v>
      </c>
      <c r="E55" s="38"/>
      <c r="F55" s="38">
        <v>1040</v>
      </c>
      <c r="G55" s="38">
        <v>364</v>
      </c>
      <c r="H55" s="38">
        <v>146</v>
      </c>
      <c r="I55" s="38">
        <v>0</v>
      </c>
      <c r="J55" s="38"/>
      <c r="K55" s="38">
        <v>1696</v>
      </c>
      <c r="L55" s="38">
        <v>0</v>
      </c>
      <c r="M55" s="38">
        <f>+M54*0.74</f>
        <v>555</v>
      </c>
      <c r="N55" s="38">
        <v>0</v>
      </c>
      <c r="O55" s="38">
        <v>0</v>
      </c>
      <c r="P55" s="38">
        <v>128</v>
      </c>
      <c r="Q55" s="38"/>
      <c r="R55" s="38">
        <v>2321</v>
      </c>
      <c r="S55" s="38">
        <v>359</v>
      </c>
      <c r="T55" s="38">
        <v>0</v>
      </c>
      <c r="U55" s="38">
        <v>1073</v>
      </c>
      <c r="V55" s="38">
        <v>802</v>
      </c>
      <c r="W55" s="38">
        <f>+W540</f>
        <v>0</v>
      </c>
      <c r="X55" s="38">
        <v>5290</v>
      </c>
      <c r="Y55" s="38">
        <v>0</v>
      </c>
      <c r="Z55" s="38">
        <v>0</v>
      </c>
      <c r="AA55" s="38">
        <f>+AA54*0.6</f>
        <v>360</v>
      </c>
      <c r="AB55" s="38">
        <f>+AB54*0.45</f>
        <v>405</v>
      </c>
      <c r="AC55" s="38">
        <v>4402</v>
      </c>
      <c r="AD55" s="38">
        <v>6923</v>
      </c>
      <c r="AE55" s="38">
        <v>224</v>
      </c>
      <c r="AF55" s="38"/>
      <c r="AG55" s="38">
        <v>4752</v>
      </c>
      <c r="AH55" s="38">
        <v>938</v>
      </c>
      <c r="AI55" s="38">
        <v>973</v>
      </c>
      <c r="AJ55" s="38">
        <v>4215</v>
      </c>
      <c r="AK55" s="38"/>
      <c r="AL55" s="85">
        <f>SUM(B55:AK55)</f>
        <v>37971</v>
      </c>
      <c r="AM55">
        <f>+AC55+S55+X55+AD55+AG55+U55+AJ55</f>
        <v>27014</v>
      </c>
      <c r="AN55" s="48">
        <f>+D55+I55+O55+R55+T55+Z55+E55+Y55+AH55+F55</f>
        <v>4522</v>
      </c>
      <c r="AO55">
        <f>+B55+Q55+AE55+AK55+AI55+L55+M55+W55+V55+AB55+N55+K55+H55+G55+J55+P55+C55+AA55+AF55</f>
        <v>6435</v>
      </c>
      <c r="AP55">
        <f>+R55+W55+Z55+AK55+O55+I55+F55</f>
        <v>3361</v>
      </c>
      <c r="AQ55" s="20">
        <f>+B55+D55+K55+L55+M55+Q55+S55+T55+X55+AC55+AD55+AE55+AG55+AI55+U55+E55+AJ55+Y55+N55+G55+AH55+AA55+AF55</f>
        <v>32347</v>
      </c>
      <c r="AR55" s="20">
        <f>+AB55+V55+H55+J55+P55+C55</f>
        <v>2263</v>
      </c>
      <c r="AS55">
        <f>+AM55+AN55+AO55</f>
        <v>37971</v>
      </c>
      <c r="AT55">
        <f>+AP55+AQ55+AR55</f>
        <v>37971</v>
      </c>
      <c r="AU55">
        <f>+AR55+AQ55+AP55</f>
        <v>37971</v>
      </c>
    </row>
    <row r="56" spans="1:47" x14ac:dyDescent="0.2">
      <c r="A56" t="s">
        <v>4</v>
      </c>
      <c r="B56" s="80">
        <v>0</v>
      </c>
      <c r="C56" s="80">
        <f>+C55/C54</f>
        <v>0.65166666666666662</v>
      </c>
      <c r="D56" s="80">
        <f>+D55/D54</f>
        <v>0.14025157232704402</v>
      </c>
      <c r="E56" s="80"/>
      <c r="F56" s="80">
        <f>+F55/F54</f>
        <v>0.32398753894080995</v>
      </c>
      <c r="G56" s="80">
        <f>+G55/G54</f>
        <v>0.71372549019607845</v>
      </c>
      <c r="H56" s="80">
        <f>+H55/H54</f>
        <v>0.34761904761904761</v>
      </c>
      <c r="I56" s="80">
        <v>0</v>
      </c>
      <c r="J56" s="80"/>
      <c r="K56" s="80">
        <f>+K55/K54</f>
        <v>0.86974358974358978</v>
      </c>
      <c r="L56" s="80">
        <v>0</v>
      </c>
      <c r="M56" s="80">
        <f>+M55/M54</f>
        <v>0.74</v>
      </c>
      <c r="N56" s="80">
        <v>0</v>
      </c>
      <c r="O56" s="80">
        <v>0</v>
      </c>
      <c r="P56" s="80">
        <f>+P55/P54</f>
        <v>0.30476190476190479</v>
      </c>
      <c r="Q56" s="80">
        <v>0</v>
      </c>
      <c r="R56" s="80">
        <f>+R55/R54</f>
        <v>0.79759450171821311</v>
      </c>
      <c r="S56" s="80">
        <f>+S55/S54</f>
        <v>4.4987468671679201E-2</v>
      </c>
      <c r="T56" s="80">
        <v>0</v>
      </c>
      <c r="U56" s="80">
        <f>+U55/U54</f>
        <v>0.17706270627062706</v>
      </c>
      <c r="V56" s="80">
        <f>+V55/V54</f>
        <v>0.58115942028985512</v>
      </c>
      <c r="W56" s="80">
        <v>0</v>
      </c>
      <c r="X56" s="80">
        <f>+X55/X54</f>
        <v>0.38002873563218392</v>
      </c>
      <c r="Y56" s="80">
        <v>0</v>
      </c>
      <c r="Z56" s="80">
        <v>0</v>
      </c>
      <c r="AA56" s="80">
        <f t="shared" ref="AA56:AJ56" si="17">+AA55/AA54</f>
        <v>0.6</v>
      </c>
      <c r="AB56" s="80">
        <f t="shared" si="17"/>
        <v>0.45</v>
      </c>
      <c r="AC56" s="80">
        <f t="shared" si="17"/>
        <v>0.81518518518518523</v>
      </c>
      <c r="AD56" s="80">
        <f t="shared" si="17"/>
        <v>0.61867739052725645</v>
      </c>
      <c r="AE56" s="80">
        <f t="shared" si="17"/>
        <v>0.57435897435897432</v>
      </c>
      <c r="AF56" s="80">
        <v>0</v>
      </c>
      <c r="AG56" s="80">
        <f t="shared" si="17"/>
        <v>0.65454545454545454</v>
      </c>
      <c r="AH56" s="80">
        <f t="shared" si="17"/>
        <v>0.52111111111111108</v>
      </c>
      <c r="AI56" s="80">
        <f t="shared" si="17"/>
        <v>0.63594771241830061</v>
      </c>
      <c r="AJ56" s="80">
        <f t="shared" si="17"/>
        <v>0.78491620111731841</v>
      </c>
      <c r="AK56" s="80">
        <v>0</v>
      </c>
      <c r="AL56" s="80">
        <f t="shared" ref="AL56:AR56" si="18">+AL55/AL54</f>
        <v>0.49001161440185831</v>
      </c>
      <c r="AM56" s="80">
        <f t="shared" si="18"/>
        <v>0.47243791535501922</v>
      </c>
      <c r="AN56" s="80">
        <f t="shared" si="18"/>
        <v>0.4754994742376446</v>
      </c>
      <c r="AO56" s="80">
        <f t="shared" si="18"/>
        <v>0.59583333333333333</v>
      </c>
      <c r="AP56" s="80">
        <f t="shared" si="18"/>
        <v>0.48922852983988357</v>
      </c>
      <c r="AQ56" s="80">
        <f t="shared" si="18"/>
        <v>0.48788838612368024</v>
      </c>
      <c r="AR56" s="80">
        <f t="shared" si="18"/>
        <v>0.52384259259259258</v>
      </c>
    </row>
    <row r="57" spans="1:47" x14ac:dyDescent="0.2">
      <c r="A57" s="44"/>
      <c r="B57" s="20"/>
      <c r="C57" s="20">
        <v>1</v>
      </c>
      <c r="D57" s="20">
        <v>1</v>
      </c>
      <c r="E57" s="20"/>
      <c r="F57" s="20">
        <v>1</v>
      </c>
      <c r="G57" s="20">
        <v>1</v>
      </c>
      <c r="H57" s="20">
        <v>1</v>
      </c>
      <c r="I57" s="20"/>
      <c r="J57" s="20"/>
      <c r="K57" s="20">
        <v>1</v>
      </c>
      <c r="L57" s="20"/>
      <c r="M57" s="20">
        <v>1</v>
      </c>
      <c r="N57" s="20"/>
      <c r="O57" s="20"/>
      <c r="P57" s="20">
        <v>1</v>
      </c>
      <c r="Q57" s="20"/>
      <c r="R57" s="20">
        <v>1</v>
      </c>
      <c r="S57" s="20">
        <v>1</v>
      </c>
      <c r="T57" s="84"/>
      <c r="U57" s="20">
        <v>1</v>
      </c>
      <c r="V57" s="20">
        <v>1</v>
      </c>
      <c r="W57" s="20"/>
      <c r="X57" s="20">
        <v>1</v>
      </c>
      <c r="Y57" s="20"/>
      <c r="Z57" s="20"/>
      <c r="AA57" s="20">
        <v>1</v>
      </c>
      <c r="AB57" s="20">
        <v>1</v>
      </c>
      <c r="AC57" s="20">
        <v>1</v>
      </c>
      <c r="AD57" s="20">
        <v>1</v>
      </c>
      <c r="AE57" s="20">
        <v>1</v>
      </c>
      <c r="AF57" s="20"/>
      <c r="AG57" s="20">
        <v>1</v>
      </c>
      <c r="AH57" s="20">
        <v>1</v>
      </c>
      <c r="AI57" s="20">
        <v>1</v>
      </c>
      <c r="AJ57" s="20">
        <v>1</v>
      </c>
      <c r="AK57" s="20"/>
      <c r="AL57" s="85">
        <f>SUM(B57:AK57)</f>
        <v>22</v>
      </c>
      <c r="AM57" s="20">
        <f>+AC57+S57+X57+AD57+AG57+U57+AJ57</f>
        <v>7</v>
      </c>
      <c r="AN57" s="20">
        <f>+D57+I57+O57+R57+T57+Z57+E57+Y57+AH57+F57</f>
        <v>4</v>
      </c>
      <c r="AO57">
        <f>+B57+Q57+AE57+AK57+AI57+L57+M57+W57+V57+AB57+N57+K57+H57+G57+J57+P57+C57+AA57+AF57</f>
        <v>11</v>
      </c>
      <c r="AP57" s="20">
        <f>+R57+W57+Z57+AK57+O57+I57+F57</f>
        <v>2</v>
      </c>
      <c r="AQ57" s="20">
        <f>+B57+D57+K57+L57+M57+Q57+S57+T57+X57+AC57+AD57+AE57+AG57+AI57+U57+E57+AJ57+Y57+N57+G57+AH57+AA57+AF57</f>
        <v>15</v>
      </c>
      <c r="AR57" s="20">
        <f>+AB57+V57+H57+J57+P57+C57</f>
        <v>5</v>
      </c>
    </row>
    <row r="58" spans="1:47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73"/>
      <c r="AM58" s="20"/>
      <c r="AN58" s="20"/>
      <c r="AO58" s="20"/>
      <c r="AP58" s="20"/>
      <c r="AQ58" s="20"/>
      <c r="AR58" s="20"/>
    </row>
    <row r="59" spans="1:47" x14ac:dyDescent="0.2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1"/>
      <c r="AC59" s="1"/>
      <c r="AD59" s="4"/>
      <c r="AE59" s="1"/>
      <c r="AF59" s="1"/>
      <c r="AG59" s="1"/>
      <c r="AH59" s="1"/>
      <c r="AL59" s="5"/>
    </row>
    <row r="60" spans="1:47" x14ac:dyDescent="0.2">
      <c r="A60" t="s">
        <v>1</v>
      </c>
      <c r="B60" s="38">
        <f>713/31*29</f>
        <v>667</v>
      </c>
      <c r="C60" s="38">
        <f>40*31</f>
        <v>1240</v>
      </c>
      <c r="D60" s="38">
        <v>1643</v>
      </c>
      <c r="E60" s="38"/>
      <c r="F60" s="38">
        <v>3317</v>
      </c>
      <c r="G60" s="38">
        <v>527</v>
      </c>
      <c r="H60" s="38">
        <v>434</v>
      </c>
      <c r="I60" s="38">
        <f>2542/31*22</f>
        <v>1804</v>
      </c>
      <c r="J60" s="38"/>
      <c r="K60" s="38">
        <v>2015</v>
      </c>
      <c r="L60" s="38"/>
      <c r="M60" s="38">
        <v>775</v>
      </c>
      <c r="N60" s="38">
        <v>217</v>
      </c>
      <c r="O60" s="38">
        <v>576</v>
      </c>
      <c r="P60" s="38">
        <v>434</v>
      </c>
      <c r="Q60" s="38"/>
      <c r="R60" s="38">
        <v>2852</v>
      </c>
      <c r="S60" s="38">
        <v>8246</v>
      </c>
      <c r="T60" s="38">
        <v>0</v>
      </c>
      <c r="U60" s="38">
        <v>6510</v>
      </c>
      <c r="V60" s="38">
        <v>1426</v>
      </c>
      <c r="W60" s="38">
        <f>600/30*22</f>
        <v>440</v>
      </c>
      <c r="X60" s="38">
        <v>14384</v>
      </c>
      <c r="Y60" s="38">
        <f>1798/31*9</f>
        <v>522</v>
      </c>
      <c r="Z60" s="38">
        <f>1200/30*23</f>
        <v>920</v>
      </c>
      <c r="AA60" s="38"/>
      <c r="AB60" s="38">
        <f>67*31</f>
        <v>2077</v>
      </c>
      <c r="AC60" s="38">
        <v>5580</v>
      </c>
      <c r="AD60" s="38">
        <v>11563</v>
      </c>
      <c r="AE60" s="38">
        <v>390</v>
      </c>
      <c r="AF60" s="38"/>
      <c r="AG60" s="38">
        <v>7192</v>
      </c>
      <c r="AH60" s="38">
        <v>1860</v>
      </c>
      <c r="AI60" s="38">
        <v>1550</v>
      </c>
      <c r="AJ60" s="38">
        <v>5549</v>
      </c>
      <c r="AK60" s="38"/>
      <c r="AL60" s="89">
        <f>SUM(B60:AK60)</f>
        <v>84710</v>
      </c>
      <c r="AM60">
        <f>+AC60+S60+X60+AD60+AG60+U60+AJ60</f>
        <v>59024</v>
      </c>
      <c r="AN60" s="20">
        <f>+D60+I60+O60+R60+T60+Z60+E60+Y60+AH60+F60</f>
        <v>13494</v>
      </c>
      <c r="AO60">
        <f>+B60+Q60+AE60+AK60+AI60+L60+M60+W60+V60+AB60+N60+K60+H60+G60+J60+P60+C60+AA60+AF60</f>
        <v>12192</v>
      </c>
      <c r="AP60">
        <f>+R60+W60+Z60+AK60+O60+I60+F60</f>
        <v>9909</v>
      </c>
      <c r="AQ60" s="20">
        <f>+B60+D60+K60+L60+M60+Q60+S60+T60+X60+AC60+AD60+AE60+AG60+AI60+U60+E60+AJ60+Y60+N60+G60+AH60+AA60+AF60</f>
        <v>69190</v>
      </c>
      <c r="AR60" s="20">
        <f>+AB60+V60+H60+J60+P60+C60</f>
        <v>5611</v>
      </c>
      <c r="AS60">
        <f>+AM60+AN60+AO60</f>
        <v>84710</v>
      </c>
      <c r="AT60">
        <f>+AP60+AQ60+AR60</f>
        <v>84710</v>
      </c>
    </row>
    <row r="61" spans="1:47" x14ac:dyDescent="0.2">
      <c r="A61" t="s">
        <v>2</v>
      </c>
      <c r="B61" s="38">
        <v>94</v>
      </c>
      <c r="C61" s="38">
        <v>777</v>
      </c>
      <c r="D61" s="38">
        <v>444</v>
      </c>
      <c r="E61" s="38"/>
      <c r="F61" s="38">
        <v>2080</v>
      </c>
      <c r="G61" s="38">
        <v>465</v>
      </c>
      <c r="H61" s="38">
        <v>199</v>
      </c>
      <c r="I61" s="38">
        <v>754</v>
      </c>
      <c r="J61" s="38"/>
      <c r="K61" s="38">
        <v>1753</v>
      </c>
      <c r="L61" s="38"/>
      <c r="M61" s="38">
        <v>581</v>
      </c>
      <c r="N61" s="38">
        <v>22</v>
      </c>
      <c r="O61" s="38">
        <v>185</v>
      </c>
      <c r="P61" s="38">
        <v>175</v>
      </c>
      <c r="Q61" s="38"/>
      <c r="R61" s="38">
        <v>2246</v>
      </c>
      <c r="S61" s="38">
        <v>330</v>
      </c>
      <c r="T61" s="38">
        <v>0</v>
      </c>
      <c r="U61" s="38">
        <v>1575</v>
      </c>
      <c r="V61" s="38">
        <v>851</v>
      </c>
      <c r="W61" s="38">
        <v>334</v>
      </c>
      <c r="X61" s="38">
        <v>5178</v>
      </c>
      <c r="Y61" s="38">
        <v>230</v>
      </c>
      <c r="Z61" s="38">
        <f>+Z60*0.75</f>
        <v>690</v>
      </c>
      <c r="AA61" s="38"/>
      <c r="AB61" s="38">
        <v>204</v>
      </c>
      <c r="AC61" s="38">
        <v>4336</v>
      </c>
      <c r="AD61" s="38">
        <v>8235</v>
      </c>
      <c r="AE61" s="38">
        <v>234</v>
      </c>
      <c r="AF61" s="38"/>
      <c r="AG61" s="38">
        <v>4366</v>
      </c>
      <c r="AH61" s="38">
        <v>937</v>
      </c>
      <c r="AI61" s="38">
        <v>918</v>
      </c>
      <c r="AJ61" s="38">
        <v>3981</v>
      </c>
      <c r="AK61" s="38"/>
      <c r="AL61" s="89">
        <f>SUM(B61:AK61)</f>
        <v>42174</v>
      </c>
      <c r="AM61">
        <f>+AC61+S61+X61+AD61+AG61+U61+AJ61</f>
        <v>28001</v>
      </c>
      <c r="AN61" s="48">
        <f>+D61+I61+O61+R61+T61+Z61+E61+Y61+AH61+F61</f>
        <v>7566</v>
      </c>
      <c r="AO61">
        <f>+B61+Q61+AE61+AK61+AI61+L61+M61+W61+V61+AB61+N61+K61+H61+G61+J61+P61+C61+AA61+AF61</f>
        <v>6607</v>
      </c>
      <c r="AP61">
        <f>+R61+W61+Z61+AK61+O61+I61+F61</f>
        <v>6289</v>
      </c>
      <c r="AQ61" s="20">
        <f>+B61+D61+K61+L61+M61+Q61+S61+T61+X61+AC61+AD61+AE61+AG61+AI61+U61+E61+AJ61+Y61+N61+G61+AH61+AA61+AF61</f>
        <v>33679</v>
      </c>
      <c r="AR61" s="20">
        <f>+AB61+V61+H61+J61+P61+C61</f>
        <v>2206</v>
      </c>
      <c r="AS61">
        <f>+AM61+AN61+AO61</f>
        <v>42174</v>
      </c>
      <c r="AT61">
        <f>+AP61+AQ61+AR61</f>
        <v>42174</v>
      </c>
    </row>
    <row r="62" spans="1:47" x14ac:dyDescent="0.2">
      <c r="A62" t="s">
        <v>4</v>
      </c>
      <c r="B62" s="87">
        <v>0</v>
      </c>
      <c r="C62" s="87">
        <f t="shared" ref="C62" si="19">+C61/C60</f>
        <v>0.62661290322580643</v>
      </c>
      <c r="D62" s="87">
        <f>+D61/D60</f>
        <v>0.27023737066342057</v>
      </c>
      <c r="E62" s="87"/>
      <c r="F62" s="87">
        <f t="shared" ref="F62:N62" si="20">+F61/F60</f>
        <v>0.62707265601447093</v>
      </c>
      <c r="G62" s="87">
        <f t="shared" si="20"/>
        <v>0.88235294117647056</v>
      </c>
      <c r="H62" s="87">
        <f t="shared" si="20"/>
        <v>0.45852534562211983</v>
      </c>
      <c r="I62" s="87">
        <f t="shared" si="20"/>
        <v>0.41796008869179602</v>
      </c>
      <c r="J62" s="38"/>
      <c r="K62" s="87">
        <f t="shared" si="20"/>
        <v>0.86997518610421831</v>
      </c>
      <c r="L62" s="38">
        <v>0</v>
      </c>
      <c r="M62" s="87">
        <f t="shared" si="20"/>
        <v>0.74967741935483867</v>
      </c>
      <c r="N62" s="87">
        <f t="shared" si="20"/>
        <v>0.10138248847926268</v>
      </c>
      <c r="O62" s="87">
        <f>+O61/O60</f>
        <v>0.32118055555555558</v>
      </c>
      <c r="P62" s="87">
        <f>+P61/P60</f>
        <v>0.40322580645161288</v>
      </c>
      <c r="Q62" s="87">
        <v>0</v>
      </c>
      <c r="R62" s="87">
        <f t="shared" ref="R62:Z62" si="21">+R61/R60</f>
        <v>0.78751753155680226</v>
      </c>
      <c r="S62" s="87">
        <f t="shared" si="21"/>
        <v>4.0019403347077369E-2</v>
      </c>
      <c r="T62" s="87">
        <v>0</v>
      </c>
      <c r="U62" s="87">
        <f t="shared" si="21"/>
        <v>0.24193548387096775</v>
      </c>
      <c r="V62" s="87">
        <f t="shared" si="21"/>
        <v>0.59677419354838712</v>
      </c>
      <c r="W62" s="87">
        <f t="shared" si="21"/>
        <v>0.75909090909090904</v>
      </c>
      <c r="X62" s="87">
        <f t="shared" si="21"/>
        <v>0.3599833147942158</v>
      </c>
      <c r="Y62" s="87">
        <f t="shared" si="21"/>
        <v>0.44061302681992337</v>
      </c>
      <c r="Z62" s="87">
        <f t="shared" si="21"/>
        <v>0.75</v>
      </c>
      <c r="AA62" s="87">
        <v>0</v>
      </c>
      <c r="AB62" s="87">
        <f t="shared" ref="AB62:AJ62" si="22">+AB61/AB60</f>
        <v>9.8218584496870487E-2</v>
      </c>
      <c r="AC62" s="87">
        <f t="shared" si="22"/>
        <v>0.77706093189964154</v>
      </c>
      <c r="AD62" s="87">
        <f t="shared" si="22"/>
        <v>0.71218541900890775</v>
      </c>
      <c r="AE62" s="87">
        <f t="shared" si="22"/>
        <v>0.6</v>
      </c>
      <c r="AF62" s="87"/>
      <c r="AG62" s="87">
        <f t="shared" si="22"/>
        <v>0.60706340378197998</v>
      </c>
      <c r="AH62" s="87">
        <f t="shared" si="22"/>
        <v>0.50376344086021507</v>
      </c>
      <c r="AI62" s="87">
        <f t="shared" si="22"/>
        <v>0.59225806451612906</v>
      </c>
      <c r="AJ62" s="87">
        <f t="shared" si="22"/>
        <v>0.71742656334474675</v>
      </c>
      <c r="AK62" s="87">
        <v>0</v>
      </c>
      <c r="AL62" s="80">
        <f t="shared" ref="AL62:AR62" si="23">+AL61/AL60</f>
        <v>0.49786329831188764</v>
      </c>
      <c r="AM62" s="80">
        <f t="shared" si="23"/>
        <v>0.47440024396855518</v>
      </c>
      <c r="AN62" s="80">
        <f t="shared" si="23"/>
        <v>0.56069364161849711</v>
      </c>
      <c r="AO62" s="80">
        <f t="shared" si="23"/>
        <v>0.54191272965879267</v>
      </c>
      <c r="AP62" s="80">
        <f t="shared" si="23"/>
        <v>0.63467554748208699</v>
      </c>
      <c r="AQ62" s="80">
        <f t="shared" si="23"/>
        <v>0.48676109264344558</v>
      </c>
      <c r="AR62" s="80">
        <f t="shared" si="23"/>
        <v>0.39315630012475494</v>
      </c>
      <c r="AT62" s="88"/>
    </row>
    <row r="63" spans="1:47" x14ac:dyDescent="0.2">
      <c r="A63" s="20"/>
      <c r="B63" s="20"/>
      <c r="C63" s="20">
        <v>1</v>
      </c>
      <c r="D63" s="20">
        <v>1</v>
      </c>
      <c r="E63" s="20"/>
      <c r="F63" s="20">
        <v>1</v>
      </c>
      <c r="G63" s="20">
        <v>1</v>
      </c>
      <c r="H63" s="20">
        <v>1</v>
      </c>
      <c r="I63" s="20">
        <v>1</v>
      </c>
      <c r="J63" s="20"/>
      <c r="K63" s="20">
        <v>1</v>
      </c>
      <c r="L63" s="20"/>
      <c r="M63" s="20">
        <v>1</v>
      </c>
      <c r="N63" s="20">
        <v>1</v>
      </c>
      <c r="O63" s="20">
        <v>1</v>
      </c>
      <c r="P63" s="20">
        <v>1</v>
      </c>
      <c r="Q63" s="20"/>
      <c r="R63" s="20">
        <v>1</v>
      </c>
      <c r="S63" s="20">
        <v>1</v>
      </c>
      <c r="T63" s="20"/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>
        <v>1</v>
      </c>
      <c r="AA63" s="20"/>
      <c r="AB63" s="20">
        <v>1</v>
      </c>
      <c r="AC63" s="20">
        <v>1</v>
      </c>
      <c r="AD63" s="20">
        <v>1</v>
      </c>
      <c r="AE63" s="20">
        <v>1</v>
      </c>
      <c r="AF63" s="20"/>
      <c r="AG63" s="20">
        <v>1</v>
      </c>
      <c r="AH63" s="20">
        <v>1</v>
      </c>
      <c r="AI63" s="20">
        <v>1</v>
      </c>
      <c r="AJ63" s="20">
        <v>1</v>
      </c>
      <c r="AK63" s="20"/>
      <c r="AL63" s="89">
        <f>SUM(B63:AK63)</f>
        <v>27</v>
      </c>
      <c r="AM63" s="20">
        <f>+AC63+S63+X63+AD63+AG63+U63+AJ63</f>
        <v>7</v>
      </c>
      <c r="AN63" s="20">
        <f>+D63+I63+O63+R63+T63+Z63+E63+Y63+AH63+F63</f>
        <v>8</v>
      </c>
      <c r="AO63">
        <f>+B63+Q63+AE63+AK63+AI63+L63+M63+W63+V63+AB63+N63+K63+H63+G63+J63+P63+C63+AA63+AF63</f>
        <v>12</v>
      </c>
      <c r="AP63" s="20">
        <f>+R63+W63+Z63+AK63+O63+I63+F63</f>
        <v>6</v>
      </c>
      <c r="AQ63" s="20">
        <f>+B63+D63+K63+L63+M63+Q63+S63+T63+X63+AC63+AD63+AE63+AG63+AI63+U63+E63+AJ63+Y63+N63+G63+AH63+AA63+AF63</f>
        <v>16</v>
      </c>
      <c r="AR63" s="20">
        <f>+AB63+V63+H63+J63+P63+C63</f>
        <v>5</v>
      </c>
    </row>
    <row r="64" spans="1:47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73"/>
      <c r="AM64" s="20"/>
      <c r="AN64" s="20"/>
      <c r="AO64" s="20"/>
      <c r="AP64" s="20"/>
      <c r="AQ64" s="20"/>
      <c r="AR64" s="20"/>
    </row>
    <row r="65" spans="1:46" x14ac:dyDescent="0.2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1"/>
      <c r="AC65" s="1"/>
      <c r="AD65" s="1"/>
      <c r="AE65" s="1"/>
      <c r="AF65" s="1"/>
      <c r="AG65" s="1"/>
      <c r="AH65" s="1"/>
      <c r="AL65" s="5"/>
    </row>
    <row r="66" spans="1:46" x14ac:dyDescent="0.2">
      <c r="A66" t="s">
        <v>1</v>
      </c>
      <c r="B66" s="38">
        <v>690</v>
      </c>
      <c r="C66" s="38">
        <v>1200</v>
      </c>
      <c r="D66" s="38">
        <v>1590</v>
      </c>
      <c r="E66" s="38"/>
      <c r="F66" s="38">
        <v>2996</v>
      </c>
      <c r="G66" s="38">
        <v>510</v>
      </c>
      <c r="H66" s="38">
        <v>420</v>
      </c>
      <c r="I66" s="38">
        <v>2460</v>
      </c>
      <c r="J66" s="38"/>
      <c r="K66" s="38">
        <v>1950</v>
      </c>
      <c r="L66" s="38">
        <v>0</v>
      </c>
      <c r="M66" s="38">
        <v>750</v>
      </c>
      <c r="N66" s="38">
        <v>420</v>
      </c>
      <c r="O66" s="38">
        <v>2160</v>
      </c>
      <c r="P66" s="38">
        <v>420</v>
      </c>
      <c r="Q66" s="38">
        <v>630</v>
      </c>
      <c r="R66" s="38">
        <v>2820</v>
      </c>
      <c r="S66" s="38">
        <v>7980</v>
      </c>
      <c r="T66" s="38">
        <v>0</v>
      </c>
      <c r="U66" s="38">
        <v>6060</v>
      </c>
      <c r="V66" s="38">
        <v>1380</v>
      </c>
      <c r="W66" s="38">
        <v>750</v>
      </c>
      <c r="X66" s="38">
        <v>13920</v>
      </c>
      <c r="Y66" s="38">
        <v>1740</v>
      </c>
      <c r="Z66" s="38">
        <v>1200</v>
      </c>
      <c r="AA66" s="38">
        <v>600</v>
      </c>
      <c r="AB66" s="38">
        <f>70*30</f>
        <v>2100</v>
      </c>
      <c r="AC66" s="38">
        <v>5400</v>
      </c>
      <c r="AD66" s="38">
        <v>11190</v>
      </c>
      <c r="AE66" s="38">
        <v>403</v>
      </c>
      <c r="AF66" s="38"/>
      <c r="AG66" s="38">
        <v>6960</v>
      </c>
      <c r="AH66" s="38">
        <v>1800</v>
      </c>
      <c r="AI66" s="38">
        <v>1500</v>
      </c>
      <c r="AJ66" s="38">
        <v>5370</v>
      </c>
      <c r="AK66" s="38">
        <v>1020</v>
      </c>
      <c r="AL66" s="73">
        <f>SUM(B66:AK66)</f>
        <v>88389</v>
      </c>
      <c r="AM66">
        <f>+AC66+S66+X66+AD66+AG66+U66+AJ66</f>
        <v>56880</v>
      </c>
      <c r="AN66" s="20">
        <f>+D66+I66+O66+R66+T66+Z66+E66+Y66+AH66+F66</f>
        <v>16766</v>
      </c>
      <c r="AO66">
        <f>+B66+Q66+AE66+AK66+AI66+L66+M66+W66+V66+AB66+N66+K66+H66+G66+J66+P66+C66+AA66</f>
        <v>14743</v>
      </c>
      <c r="AP66">
        <f>+R66+W66+Z66+AK66+O66+I66+F66</f>
        <v>13406</v>
      </c>
      <c r="AQ66" s="20">
        <f>+B66+D66+K66+L66+M66+Q66+S66+T66+X66+AC66+AD66+AE66+AG66+AI66+U66+E66+AJ66+Y66+N66+G66+AH66+AA66</f>
        <v>69463</v>
      </c>
      <c r="AR66" s="20">
        <f>+AB66+V66+H66+J66+P66+C66</f>
        <v>5520</v>
      </c>
      <c r="AS66">
        <f>+AM66+AN66+AO66</f>
        <v>88389</v>
      </c>
      <c r="AT66">
        <f>+AP66+AQ66+AR66</f>
        <v>88389</v>
      </c>
    </row>
    <row r="67" spans="1:46" x14ac:dyDescent="0.2">
      <c r="A67" t="s">
        <v>2</v>
      </c>
      <c r="B67" s="38">
        <v>373</v>
      </c>
      <c r="C67" s="38">
        <v>860</v>
      </c>
      <c r="D67" s="45">
        <f>+D66*0.8</f>
        <v>1272</v>
      </c>
      <c r="E67" s="45"/>
      <c r="F67" s="45">
        <v>2352</v>
      </c>
      <c r="G67" s="45">
        <v>452</v>
      </c>
      <c r="H67" s="45">
        <v>334</v>
      </c>
      <c r="I67" s="45">
        <v>1572</v>
      </c>
      <c r="J67" s="45"/>
      <c r="K67" s="45">
        <v>1814</v>
      </c>
      <c r="L67" s="45">
        <v>0</v>
      </c>
      <c r="M67" s="45">
        <v>678</v>
      </c>
      <c r="N67" s="45">
        <f>+N66*0.37</f>
        <v>155.4</v>
      </c>
      <c r="O67" s="45">
        <v>1108</v>
      </c>
      <c r="P67" s="45">
        <f>+P66*0.636</f>
        <v>267.12</v>
      </c>
      <c r="Q67" s="45">
        <v>215</v>
      </c>
      <c r="R67" s="45">
        <v>2532</v>
      </c>
      <c r="S67" s="45">
        <v>457</v>
      </c>
      <c r="T67" s="45">
        <v>0</v>
      </c>
      <c r="U67" s="45">
        <v>2612</v>
      </c>
      <c r="V67" s="45">
        <v>1090</v>
      </c>
      <c r="W67" s="45">
        <v>660</v>
      </c>
      <c r="X67" s="45">
        <v>7606</v>
      </c>
      <c r="Y67" s="45">
        <v>1079</v>
      </c>
      <c r="Z67" s="45">
        <f>+Z66*0.725</f>
        <v>870</v>
      </c>
      <c r="AA67" s="45">
        <v>455</v>
      </c>
      <c r="AB67" s="45">
        <f>+AB66*0.2</f>
        <v>420</v>
      </c>
      <c r="AC67" s="45">
        <v>4368</v>
      </c>
      <c r="AD67" s="45">
        <v>9773</v>
      </c>
      <c r="AE67" s="45">
        <v>341</v>
      </c>
      <c r="AF67" s="45"/>
      <c r="AG67" s="45">
        <v>5969</v>
      </c>
      <c r="AH67" s="45">
        <v>1249</v>
      </c>
      <c r="AI67" s="45">
        <v>1290</v>
      </c>
      <c r="AJ67" s="45">
        <v>4727</v>
      </c>
      <c r="AK67" s="45">
        <v>795</v>
      </c>
      <c r="AL67" s="73">
        <f>SUM(B67:AK67)</f>
        <v>57745.520000000004</v>
      </c>
      <c r="AM67">
        <f>+AC67+S67+X67+AD67+AG67+U67+AJ67</f>
        <v>35512</v>
      </c>
      <c r="AN67" s="48">
        <f>+D67+I67+O67+R67+T67+Z67+E67+Y67+AH67+F67</f>
        <v>12034</v>
      </c>
      <c r="AO67">
        <f>+B67+Q67+AE67+AK67+AI67+L67+M67+W67+V67+AB67+N67+K67+H67+G67+J67+P67+C67+AA67</f>
        <v>10199.52</v>
      </c>
      <c r="AP67">
        <f>+R67+W67+Z67+AK67+O67+I67+F67</f>
        <v>9889</v>
      </c>
      <c r="AQ67" s="20">
        <f>+B67+D67+K67+L67+M67+Q67+S67+T67+X67+AC67+AD67+AE67+AG67+AI67+U67+E67+AJ67+Y67+N67+G67+AH67+AA67</f>
        <v>44885.4</v>
      </c>
      <c r="AR67" s="20">
        <f>+AB67+V67+H67+J67+P67+C67</f>
        <v>2971.12</v>
      </c>
      <c r="AS67">
        <f>+AM67+AN67+AO67</f>
        <v>57745.520000000004</v>
      </c>
      <c r="AT67">
        <f>+AP67+AQ67+AR67</f>
        <v>57745.520000000004</v>
      </c>
    </row>
    <row r="68" spans="1:46" x14ac:dyDescent="0.2">
      <c r="A68" t="s">
        <v>4</v>
      </c>
      <c r="B68" s="3">
        <f>+B67/B66</f>
        <v>0.54057971014492756</v>
      </c>
      <c r="C68" s="3">
        <f>+C67/C66</f>
        <v>0.71666666666666667</v>
      </c>
      <c r="D68" s="3">
        <f>+D67/D66</f>
        <v>0.8</v>
      </c>
      <c r="E68" s="3"/>
      <c r="F68" s="3">
        <f t="shared" ref="F68:AB68" si="24">+F67/F66</f>
        <v>0.78504672897196259</v>
      </c>
      <c r="G68" s="3">
        <f t="shared" si="24"/>
        <v>0.88627450980392153</v>
      </c>
      <c r="H68" s="3">
        <f t="shared" si="24"/>
        <v>0.79523809523809519</v>
      </c>
      <c r="I68" s="3">
        <f t="shared" si="24"/>
        <v>0.63902439024390245</v>
      </c>
      <c r="J68" s="3"/>
      <c r="K68" s="3">
        <f t="shared" si="24"/>
        <v>0.93025641025641026</v>
      </c>
      <c r="L68" s="3">
        <v>0</v>
      </c>
      <c r="M68" s="3">
        <f t="shared" si="24"/>
        <v>0.90400000000000003</v>
      </c>
      <c r="N68" s="3">
        <f t="shared" si="24"/>
        <v>0.37</v>
      </c>
      <c r="O68" s="3">
        <f t="shared" si="24"/>
        <v>0.51296296296296295</v>
      </c>
      <c r="P68" s="3">
        <f t="shared" si="24"/>
        <v>0.63600000000000001</v>
      </c>
      <c r="Q68" s="3">
        <f t="shared" si="24"/>
        <v>0.34126984126984128</v>
      </c>
      <c r="R68" s="3">
        <f t="shared" si="24"/>
        <v>0.89787234042553188</v>
      </c>
      <c r="S68" s="3">
        <f t="shared" si="24"/>
        <v>5.7268170426065163E-2</v>
      </c>
      <c r="T68" s="3">
        <v>0</v>
      </c>
      <c r="U68" s="3">
        <f t="shared" si="24"/>
        <v>0.431023102310231</v>
      </c>
      <c r="V68" s="3">
        <f t="shared" si="24"/>
        <v>0.78985507246376807</v>
      </c>
      <c r="W68" s="3">
        <f t="shared" si="24"/>
        <v>0.88</v>
      </c>
      <c r="X68" s="3">
        <f t="shared" si="24"/>
        <v>0.54640804597701154</v>
      </c>
      <c r="Y68" s="3">
        <f t="shared" si="24"/>
        <v>0.62011494252873567</v>
      </c>
      <c r="Z68" s="3">
        <f t="shared" si="24"/>
        <v>0.72499999999999998</v>
      </c>
      <c r="AA68" s="3">
        <f t="shared" si="24"/>
        <v>0.7583333333333333</v>
      </c>
      <c r="AB68" s="3">
        <f t="shared" si="24"/>
        <v>0.2</v>
      </c>
      <c r="AC68" s="3">
        <f>+AC67/AC66</f>
        <v>0.80888888888888888</v>
      </c>
      <c r="AD68" s="3">
        <f>+AD67/AD66</f>
        <v>0.87336907953529941</v>
      </c>
      <c r="AE68" s="3">
        <f>+AE67/AE66</f>
        <v>0.84615384615384615</v>
      </c>
      <c r="AF68" s="3"/>
      <c r="AG68" s="3">
        <f>+AG67/AG66</f>
        <v>0.8576149425287356</v>
      </c>
      <c r="AH68" s="3">
        <f>+AH67/AH66</f>
        <v>0.69388888888888889</v>
      </c>
      <c r="AI68" s="3">
        <f t="shared" ref="AI68:AR68" si="25">+AI67/AI66</f>
        <v>0.86</v>
      </c>
      <c r="AJ68" s="3">
        <f t="shared" si="25"/>
        <v>0.8802607076350093</v>
      </c>
      <c r="AK68" s="3">
        <f t="shared" si="25"/>
        <v>0.77941176470588236</v>
      </c>
      <c r="AL68" s="6">
        <f t="shared" si="25"/>
        <v>0.65331115862833611</v>
      </c>
      <c r="AM68" s="3">
        <f t="shared" si="25"/>
        <v>0.62433192686357242</v>
      </c>
      <c r="AN68" s="3">
        <f t="shared" si="25"/>
        <v>0.7177621376595491</v>
      </c>
      <c r="AO68" s="3">
        <f t="shared" si="25"/>
        <v>0.69182120328291397</v>
      </c>
      <c r="AP68" s="3">
        <f t="shared" si="25"/>
        <v>0.73765478144114571</v>
      </c>
      <c r="AQ68" s="3">
        <f t="shared" si="25"/>
        <v>0.64617710147848495</v>
      </c>
      <c r="AR68" s="3">
        <f t="shared" si="25"/>
        <v>0.53824637681159415</v>
      </c>
    </row>
    <row r="69" spans="1:46" x14ac:dyDescent="0.2">
      <c r="A69" s="20"/>
      <c r="B69" s="39">
        <v>1</v>
      </c>
      <c r="C69" s="39">
        <v>1</v>
      </c>
      <c r="D69" s="39">
        <v>1</v>
      </c>
      <c r="E69" s="39"/>
      <c r="F69" s="39">
        <v>1</v>
      </c>
      <c r="G69" s="39">
        <v>1</v>
      </c>
      <c r="H69" s="39">
        <v>1</v>
      </c>
      <c r="I69" s="39">
        <v>1</v>
      </c>
      <c r="J69" s="39"/>
      <c r="K69" s="39">
        <v>1</v>
      </c>
      <c r="L69" s="39"/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/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>
        <v>1</v>
      </c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/>
      <c r="AG69" s="39">
        <v>1</v>
      </c>
      <c r="AH69" s="39">
        <v>1</v>
      </c>
      <c r="AI69" s="39">
        <v>1</v>
      </c>
      <c r="AJ69" s="39">
        <v>1</v>
      </c>
      <c r="AK69" s="39">
        <v>1</v>
      </c>
      <c r="AL69" s="73">
        <f>SUM(B69:AK69)</f>
        <v>31</v>
      </c>
      <c r="AM69" s="20">
        <f>+AC69+S69+X69+AD69+AG69+U69+AJ69</f>
        <v>7</v>
      </c>
      <c r="AN69" s="20">
        <f>+D69+I69+O69+R69+T69+Z69+E69+Y69+AH69+F69</f>
        <v>8</v>
      </c>
      <c r="AO69">
        <f>+B69+Q69+AE69+AK69+AI69+L69+M69+W69+V69+AB69+N69+K69+H69+G69+J69+P69+C69+AA69</f>
        <v>16</v>
      </c>
      <c r="AP69" s="20">
        <f>+R69+W69+Z69+AK69+O69+I69+F69</f>
        <v>7</v>
      </c>
      <c r="AQ69" s="20">
        <f>+B69+D69+K69+L69+M69+Q69+S69+T69+X69+AC69+AD69+AE69+AG69+AI69+U69+E69+AJ69+Y69+N69+G69+AH69+AA69</f>
        <v>19</v>
      </c>
      <c r="AR69" s="20">
        <f>+AB69+V69+H69+J69+P69+C69</f>
        <v>5</v>
      </c>
    </row>
    <row r="70" spans="1:46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73"/>
      <c r="AM70" s="20"/>
      <c r="AN70" s="20"/>
      <c r="AO70" s="20"/>
      <c r="AP70" s="20"/>
      <c r="AQ70" s="20"/>
      <c r="AR70" s="20"/>
    </row>
    <row r="71" spans="1:46" x14ac:dyDescent="0.2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 t="s">
        <v>15</v>
      </c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5"/>
    </row>
    <row r="72" spans="1:46" x14ac:dyDescent="0.2">
      <c r="A72" t="s">
        <v>1</v>
      </c>
      <c r="B72" s="38">
        <v>713</v>
      </c>
      <c r="C72" s="38">
        <v>1240</v>
      </c>
      <c r="D72" s="38">
        <v>1643</v>
      </c>
      <c r="E72" s="38"/>
      <c r="F72" s="38">
        <v>3317</v>
      </c>
      <c r="G72" s="38">
        <v>527</v>
      </c>
      <c r="H72" s="38">
        <v>434</v>
      </c>
      <c r="I72" s="38">
        <v>2542</v>
      </c>
      <c r="J72" s="38"/>
      <c r="K72" s="38">
        <v>2015</v>
      </c>
      <c r="L72" s="38">
        <v>0</v>
      </c>
      <c r="M72" s="38">
        <v>930</v>
      </c>
      <c r="N72" s="38">
        <v>434</v>
      </c>
      <c r="O72" s="38">
        <v>2232</v>
      </c>
      <c r="P72" s="38">
        <v>434</v>
      </c>
      <c r="Q72" s="38">
        <v>713</v>
      </c>
      <c r="R72" s="38">
        <v>3007</v>
      </c>
      <c r="S72" s="38">
        <v>8246</v>
      </c>
      <c r="T72" s="38">
        <v>3441</v>
      </c>
      <c r="U72" s="38">
        <v>5611</v>
      </c>
      <c r="V72" s="38">
        <v>1426</v>
      </c>
      <c r="W72" s="38">
        <f>750/30*31</f>
        <v>775</v>
      </c>
      <c r="X72" s="38">
        <v>14384</v>
      </c>
      <c r="Y72" s="38">
        <v>1798</v>
      </c>
      <c r="Z72" s="38">
        <f>1200/30*31</f>
        <v>1240</v>
      </c>
      <c r="AA72" s="38">
        <v>620</v>
      </c>
      <c r="AB72" s="38">
        <f>70*31</f>
        <v>2170</v>
      </c>
      <c r="AC72" s="38">
        <v>5580</v>
      </c>
      <c r="AD72" s="38">
        <v>11563</v>
      </c>
      <c r="AE72" s="38">
        <v>403</v>
      </c>
      <c r="AF72" s="38">
        <v>434</v>
      </c>
      <c r="AG72" s="38">
        <v>7471</v>
      </c>
      <c r="AH72" s="38">
        <v>1860</v>
      </c>
      <c r="AI72" s="38">
        <v>1550</v>
      </c>
      <c r="AJ72" s="38">
        <v>5549</v>
      </c>
      <c r="AK72" s="38">
        <v>1054</v>
      </c>
      <c r="AL72" s="91">
        <f>SUM(B72:AK72)</f>
        <v>95356</v>
      </c>
      <c r="AM72">
        <f>+AC72+S72+X72+AD72+AG72+U72+AJ72</f>
        <v>58404</v>
      </c>
      <c r="AN72" s="20">
        <f>+D72+I72+O72+R72+T72+Z72+E72+Y72+AH72+F72</f>
        <v>21080</v>
      </c>
      <c r="AO72">
        <f>+B72+Q72+AE72+AK72+AI72+L72+M72+W72+V72+AB72+N72+K72+H72+G72+J72+P72+C72+AA72</f>
        <v>15438</v>
      </c>
      <c r="AP72">
        <f>+R72+W72+Z72+AK72+O72+I72+F72</f>
        <v>14167</v>
      </c>
      <c r="AQ72" s="20">
        <f>+B72+D72+K72+L72+M72+Q72+S72+T72+X72+AC72+AD72+AE72+AG72+AI72+U72+E72+AJ72+Y72+N72+G72+AH72+AA72</f>
        <v>75051</v>
      </c>
      <c r="AR72" s="20">
        <f>+AB72+V72+H72+J72+P72+C72</f>
        <v>5704</v>
      </c>
      <c r="AS72">
        <f>+AM72+AN72+AO72</f>
        <v>94922</v>
      </c>
      <c r="AT72">
        <f>+AP72+AQ72+AR72</f>
        <v>94922</v>
      </c>
    </row>
    <row r="73" spans="1:46" x14ac:dyDescent="0.2">
      <c r="A73" t="s">
        <v>2</v>
      </c>
      <c r="B73" s="38">
        <v>464</v>
      </c>
      <c r="C73" s="38">
        <v>573</v>
      </c>
      <c r="D73" s="38">
        <v>674</v>
      </c>
      <c r="E73" s="90"/>
      <c r="F73" s="45">
        <v>2355</v>
      </c>
      <c r="G73" s="45">
        <v>452</v>
      </c>
      <c r="H73" s="45">
        <v>211</v>
      </c>
      <c r="I73" s="45">
        <v>1861</v>
      </c>
      <c r="J73" s="45"/>
      <c r="K73" s="45">
        <v>1874</v>
      </c>
      <c r="L73" s="45">
        <v>0</v>
      </c>
      <c r="M73" s="45">
        <v>825</v>
      </c>
      <c r="N73" s="45">
        <v>300</v>
      </c>
      <c r="O73" s="45">
        <v>1491</v>
      </c>
      <c r="P73" s="45">
        <v>213</v>
      </c>
      <c r="Q73" s="45">
        <v>360</v>
      </c>
      <c r="R73" s="45">
        <v>2687</v>
      </c>
      <c r="S73" s="45">
        <v>841</v>
      </c>
      <c r="T73" s="45">
        <v>1721</v>
      </c>
      <c r="U73" s="45">
        <v>2003</v>
      </c>
      <c r="V73" s="45">
        <f>+V72*0.754</f>
        <v>1075.204</v>
      </c>
      <c r="W73" s="45">
        <v>698</v>
      </c>
      <c r="X73" s="45">
        <v>6041</v>
      </c>
      <c r="Y73" s="45">
        <v>989</v>
      </c>
      <c r="Z73" s="45">
        <v>990</v>
      </c>
      <c r="AA73" s="45">
        <f>+AA72*0.776</f>
        <v>481.12</v>
      </c>
      <c r="AB73" s="45">
        <v>1845</v>
      </c>
      <c r="AC73" s="45">
        <v>4235</v>
      </c>
      <c r="AD73" s="45">
        <v>8676</v>
      </c>
      <c r="AE73" s="45">
        <v>301</v>
      </c>
      <c r="AF73" s="45">
        <v>204</v>
      </c>
      <c r="AG73" s="45">
        <v>6125</v>
      </c>
      <c r="AH73" s="45">
        <v>1198</v>
      </c>
      <c r="AI73" s="45">
        <v>1229</v>
      </c>
      <c r="AJ73" s="45">
        <v>4998</v>
      </c>
      <c r="AK73" s="45">
        <v>759</v>
      </c>
      <c r="AL73" s="91">
        <f>SUM(B73:AK73)</f>
        <v>58749.324000000001</v>
      </c>
      <c r="AM73">
        <f>+AC73+S73+X73+AD73+AG73+U73+AJ73</f>
        <v>32919</v>
      </c>
      <c r="AN73" s="48">
        <f>+D73+I73+O73+R73+T73+Z73+E73+Y73+AH73+F73</f>
        <v>13966</v>
      </c>
      <c r="AO73">
        <f>+B73+Q73+AE73+AK73+AI73+L73+M73+W73+V73+AB73+N73+K73+H73+G73+J73+P73+C73+AA73</f>
        <v>11660.324000000001</v>
      </c>
      <c r="AP73">
        <f>+R73+W73+Z73+AK73+O73+I73+F73</f>
        <v>10841</v>
      </c>
      <c r="AQ73" s="20">
        <f>+B73+D73+K73+L73+M73+Q73+S73+T73+X73+AC73+AD73+AE73+AG73+AI73+U73+E73+AJ73+Y73+N73+G73+AH73+AA73</f>
        <v>43787.12</v>
      </c>
      <c r="AR73" s="20">
        <f>+AB73+V73+H73+J73+P73+C73</f>
        <v>3917.2039999999997</v>
      </c>
      <c r="AS73">
        <f>+AM73+AN73+AO73</f>
        <v>58545.324000000001</v>
      </c>
      <c r="AT73">
        <f>+AP73+AQ73+AR73</f>
        <v>58545.324000000001</v>
      </c>
    </row>
    <row r="74" spans="1:46" x14ac:dyDescent="0.2">
      <c r="A74" t="s">
        <v>4</v>
      </c>
      <c r="B74" s="3">
        <f>+B73/B72</f>
        <v>0.65077138849929872</v>
      </c>
      <c r="C74" s="3">
        <f>+C73/C72</f>
        <v>0.46209677419354839</v>
      </c>
      <c r="D74" s="3">
        <f>+D73/D72</f>
        <v>0.41022519780888617</v>
      </c>
      <c r="E74" s="3"/>
      <c r="F74" s="3">
        <f t="shared" ref="F74:AR74" si="26">+F73/F72</f>
        <v>0.70997889659330715</v>
      </c>
      <c r="G74" s="3">
        <f t="shared" si="26"/>
        <v>0.85768500948766602</v>
      </c>
      <c r="H74" s="3">
        <f t="shared" si="26"/>
        <v>0.48617511520737328</v>
      </c>
      <c r="I74" s="3">
        <f t="shared" si="26"/>
        <v>0.73210070810385519</v>
      </c>
      <c r="J74" s="3"/>
      <c r="K74" s="3">
        <f t="shared" si="26"/>
        <v>0.93002481389578162</v>
      </c>
      <c r="L74" s="3">
        <v>0</v>
      </c>
      <c r="M74" s="3">
        <f t="shared" si="26"/>
        <v>0.88709677419354838</v>
      </c>
      <c r="N74" s="3">
        <f t="shared" si="26"/>
        <v>0.69124423963133641</v>
      </c>
      <c r="O74" s="3">
        <f t="shared" si="26"/>
        <v>0.668010752688172</v>
      </c>
      <c r="P74" s="3">
        <f t="shared" si="26"/>
        <v>0.49078341013824883</v>
      </c>
      <c r="Q74" s="3">
        <f t="shared" si="26"/>
        <v>0.50490883590462832</v>
      </c>
      <c r="R74" s="3">
        <f t="shared" si="26"/>
        <v>0.89358164283338881</v>
      </c>
      <c r="S74" s="3">
        <f t="shared" si="26"/>
        <v>0.10198884307543052</v>
      </c>
      <c r="T74" s="3">
        <f t="shared" si="26"/>
        <v>0.50014530659691947</v>
      </c>
      <c r="U74" s="3">
        <f t="shared" si="26"/>
        <v>0.35697736588843343</v>
      </c>
      <c r="V74" s="3">
        <f t="shared" si="26"/>
        <v>0.754</v>
      </c>
      <c r="W74" s="3">
        <f t="shared" si="26"/>
        <v>0.90064516129032257</v>
      </c>
      <c r="X74" s="3">
        <f t="shared" si="26"/>
        <v>0.41998053392658508</v>
      </c>
      <c r="Y74" s="3">
        <f t="shared" si="26"/>
        <v>0.55005561735261399</v>
      </c>
      <c r="Z74" s="3">
        <f t="shared" si="26"/>
        <v>0.79838709677419351</v>
      </c>
      <c r="AA74" s="3">
        <f t="shared" si="26"/>
        <v>0.77600000000000002</v>
      </c>
      <c r="AB74" s="3">
        <f t="shared" si="26"/>
        <v>0.85023041474654382</v>
      </c>
      <c r="AC74" s="3">
        <f t="shared" si="26"/>
        <v>0.75896057347670254</v>
      </c>
      <c r="AD74" s="3">
        <f t="shared" si="26"/>
        <v>0.75032431030009517</v>
      </c>
      <c r="AE74" s="3">
        <f t="shared" si="26"/>
        <v>0.74689826302729534</v>
      </c>
      <c r="AF74" s="3">
        <f t="shared" si="26"/>
        <v>0.47004608294930877</v>
      </c>
      <c r="AG74" s="3">
        <f t="shared" si="26"/>
        <v>0.81983670191406777</v>
      </c>
      <c r="AH74" s="3">
        <f t="shared" si="26"/>
        <v>0.6440860215053763</v>
      </c>
      <c r="AI74" s="3">
        <f t="shared" si="26"/>
        <v>0.79290322580645156</v>
      </c>
      <c r="AJ74" s="3">
        <f t="shared" si="26"/>
        <v>0.90070282933861956</v>
      </c>
      <c r="AK74" s="3">
        <f t="shared" si="26"/>
        <v>0.72011385199240985</v>
      </c>
      <c r="AL74" s="6">
        <f t="shared" si="26"/>
        <v>0.6161051638072067</v>
      </c>
      <c r="AM74" s="3">
        <f t="shared" si="26"/>
        <v>0.56364290117115268</v>
      </c>
      <c r="AN74" s="3">
        <f t="shared" si="26"/>
        <v>0.66252371916508535</v>
      </c>
      <c r="AO74" s="3">
        <f t="shared" si="26"/>
        <v>0.75530016841559788</v>
      </c>
      <c r="AP74" s="3">
        <f t="shared" si="26"/>
        <v>0.7652290534340368</v>
      </c>
      <c r="AQ74" s="3">
        <f t="shared" si="26"/>
        <v>0.58343153322407437</v>
      </c>
      <c r="AR74" s="3">
        <f t="shared" si="26"/>
        <v>0.68674684431977551</v>
      </c>
    </row>
    <row r="75" spans="1:46" x14ac:dyDescent="0.2">
      <c r="A75" s="20"/>
      <c r="B75" s="20">
        <v>1</v>
      </c>
      <c r="C75" s="20">
        <v>1</v>
      </c>
      <c r="D75" s="20">
        <v>1</v>
      </c>
      <c r="E75" s="20"/>
      <c r="F75" s="20">
        <v>1</v>
      </c>
      <c r="G75" s="20">
        <v>1</v>
      </c>
      <c r="H75" s="20">
        <v>1</v>
      </c>
      <c r="I75" s="20">
        <v>1</v>
      </c>
      <c r="J75" s="20"/>
      <c r="K75" s="20">
        <v>1</v>
      </c>
      <c r="L75" s="20"/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20">
        <v>1</v>
      </c>
      <c r="S75" s="84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>
        <v>1</v>
      </c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20">
        <v>1</v>
      </c>
      <c r="AJ75" s="20">
        <v>1</v>
      </c>
      <c r="AK75" s="20">
        <v>1</v>
      </c>
      <c r="AL75" s="91">
        <f>SUM(B75:AK75)</f>
        <v>33</v>
      </c>
      <c r="AM75" s="20">
        <f>+AC75+S75+X75+AD75+AG75+U75+AJ75</f>
        <v>7</v>
      </c>
      <c r="AN75" s="20">
        <f>+D75+I75+O75+R75+T75+Z75+E75+Y75+AH75+F75</f>
        <v>9</v>
      </c>
      <c r="AO75">
        <f>+B75+Q75+AE75+AK75+AI75+L75+M75+W75+V75+AB75+N75+K75+H75+G75+J75+P75+C75+AA75</f>
        <v>16</v>
      </c>
      <c r="AP75" s="20">
        <f>+R75+W75+Z75+AK75+O75+I75+F75</f>
        <v>7</v>
      </c>
      <c r="AQ75" s="20">
        <f>+B75+D75+K75+L75+M75+Q75+S75+T75+X75+AC75+AD75+AE75+AG75+AI75+U75+E75+AJ75+Y75+N75+G75+AH75+AA75</f>
        <v>20</v>
      </c>
      <c r="AR75" s="20">
        <f>+AB75+V75+H75+J75+P75+C75</f>
        <v>5</v>
      </c>
    </row>
    <row r="76" spans="1:46" x14ac:dyDescent="0.2">
      <c r="A76" t="s">
        <v>61</v>
      </c>
      <c r="AL76">
        <f>+AL6+AL12+AL18+AL24+AL30+AL36+AL42+AL48+AL54+AL60+AL66+AL72</f>
        <v>1076646</v>
      </c>
      <c r="AM76">
        <f>+AM6+AM12+AM18+AM24+AM30+AM36+AM42+AM48+AM54+AM60+AM66+AM72</f>
        <v>697446</v>
      </c>
      <c r="AN76">
        <f>+AN6+AN12+AN18+AN24+AN30+AN36+AN42+AN48+AN54+AN60+AN66+AN72</f>
        <v>210788</v>
      </c>
      <c r="AO76">
        <f>+AO6+AO12+AO18+AO24+AO30+AO36+AO42+AO48+AO54+AO60+AO66+AO72</f>
        <v>167978</v>
      </c>
      <c r="AP76">
        <f t="shared" ref="AM76:AR77" si="27">+AP6+AP12+AP18+AP24+AP30+AP36+AP42+AP48+AP54+AP60+AP66+AP72</f>
        <v>153579</v>
      </c>
      <c r="AQ76">
        <f t="shared" si="27"/>
        <v>866555</v>
      </c>
      <c r="AR76">
        <f t="shared" si="27"/>
        <v>56078</v>
      </c>
    </row>
    <row r="77" spans="1:46" x14ac:dyDescent="0.2">
      <c r="C77" s="86">
        <f t="shared" ref="C77" si="28">+C66+C60+C54+C6+C12+C18+C24+C30+C36+C42+C48+C71</f>
        <v>13360</v>
      </c>
      <c r="F77">
        <f t="shared" ref="F77:H78" si="29">+F66+F60+F54+F6+F12+F18+F24+F30+F36+F42+F48+F71</f>
        <v>35642</v>
      </c>
      <c r="G77" s="86">
        <f t="shared" si="29"/>
        <v>5678</v>
      </c>
      <c r="H77" s="86">
        <f t="shared" si="29"/>
        <v>5492</v>
      </c>
      <c r="I77">
        <f>+I66+I60+I54+I6+I12+I18+I24+I30+I36+I42+I48+I72</f>
        <v>25912</v>
      </c>
      <c r="O77">
        <f>+O66+O60+O54+O6+O12+O18+O24+O30+O36+O42+O48+O72</f>
        <v>21744</v>
      </c>
      <c r="P77" s="86">
        <f>+P66+P60+P54+P6+P12+P18+P24+P30+P36+P42+P48+P71</f>
        <v>4676</v>
      </c>
      <c r="R77">
        <f>+R66+R60+R54+R6+R12+R18+R24+R30+R36+R42+R48+R72</f>
        <v>35253</v>
      </c>
      <c r="S77" s="86">
        <f>+S66+S60+S54+S6+S12+S18+S24+S30+S36+S42+S48+S72</f>
        <v>97090</v>
      </c>
      <c r="T77">
        <f t="shared" ref="T77:U78" si="30">+T66+T60+T54+T6+T12+T18+T24+T30+T36+T42+T48+T71+T72</f>
        <v>16761</v>
      </c>
      <c r="U77">
        <f t="shared" si="30"/>
        <v>74791</v>
      </c>
      <c r="X77" s="86">
        <f>+X66+X60+X54+X6+X12+X18+X24+X30+X36+X42+X48+X72</f>
        <v>169360</v>
      </c>
      <c r="Z77">
        <f>+Z66+Z60+Z54+Z6+Z12+Z18+Z24+Z30+Z36+Z42+Z48+Z71</f>
        <v>11520</v>
      </c>
      <c r="AC77">
        <f t="shared" ref="AC77:AG78" si="31">+AC66+AC60+AC54+AC6+AC12+AC18+AC24+AC30+AC36+AC42+AC48+AC71</f>
        <v>60120</v>
      </c>
      <c r="AD77" s="86">
        <f>+AD66+AD60+AD54+AD6+AD12+AD18+AD24+AD30+AD36+AD42+AD48+AD72</f>
        <v>137325</v>
      </c>
      <c r="AE77">
        <f t="shared" si="31"/>
        <v>4342</v>
      </c>
      <c r="AG77">
        <f t="shared" si="31"/>
        <v>80162</v>
      </c>
      <c r="AI77" s="86">
        <f>+AI66+AI60+AI54+AI6+AI12+AI18+AI24+AI30+AI36+AI42+AI48+AI71</f>
        <v>16883</v>
      </c>
      <c r="AJ77">
        <f>+AJ66+AJ60+AJ54+AJ6+AJ12+AJ18+AJ24+AJ30+AJ36+AJ42+AJ48+AJ71</f>
        <v>59998</v>
      </c>
      <c r="AK77">
        <f>+AK66+AK60+AK54+AK6+AK12+AK18+AK24+AK30+AK36+AK42+AK48+AK72</f>
        <v>10336</v>
      </c>
      <c r="AL77">
        <f>+AL7+AL13+AL19+AL25+AL31+AL37+AL43+AL49+AL55+AL61+AL67+AL73</f>
        <v>617657.84400000004</v>
      </c>
      <c r="AM77">
        <f t="shared" si="27"/>
        <v>378434</v>
      </c>
      <c r="AN77">
        <f t="shared" si="27"/>
        <v>129977</v>
      </c>
      <c r="AO77">
        <f>+AO7+AO13+AO19+AO25+AO31+AO37+AO43+AO49+AO55+AO61+AO67+AO73</f>
        <v>109042.84400000001</v>
      </c>
      <c r="AP77">
        <f t="shared" si="27"/>
        <v>105575</v>
      </c>
      <c r="AQ77">
        <f t="shared" si="27"/>
        <v>480923.52</v>
      </c>
      <c r="AR77">
        <f t="shared" si="27"/>
        <v>30955.324000000001</v>
      </c>
    </row>
    <row r="78" spans="1:46" x14ac:dyDescent="0.2">
      <c r="C78">
        <f t="shared" ref="C78" si="32">+C67+C61+C55+C7+C13+C19+C25+C31+C37+C43+C49+C72</f>
        <v>8052</v>
      </c>
      <c r="F78">
        <f t="shared" si="29"/>
        <v>25674</v>
      </c>
      <c r="G78">
        <f t="shared" si="29"/>
        <v>4946</v>
      </c>
      <c r="H78">
        <f t="shared" si="29"/>
        <v>3284</v>
      </c>
      <c r="I78">
        <f>+I67+I61+I55+I7+I13+I19+I25+I31+I37+I43+I49+I73</f>
        <v>14904</v>
      </c>
      <c r="O78">
        <f>+O67+O61+O55+O7+O13+O19+O25+O31+O37+O43+O49+O73</f>
        <v>11828</v>
      </c>
      <c r="P78">
        <f>+P67+P61+P55+P7+P13+P19+P25+P31+P37+P43+P49+P72</f>
        <v>2993.12</v>
      </c>
      <c r="R78">
        <f>+R67+R61+R55+R7+R13+R19+R25+R31+R37+R43+R49+R73</f>
        <v>30730</v>
      </c>
      <c r="S78" s="86">
        <f>+S67+S61+S55+S7+S13+S19+S25+S31+S37+S43+S49+S73</f>
        <v>6314</v>
      </c>
      <c r="T78">
        <f t="shared" si="30"/>
        <v>10543</v>
      </c>
      <c r="U78">
        <f t="shared" si="30"/>
        <v>31471</v>
      </c>
      <c r="X78" s="86">
        <f>+X67+X61+X55+X7+X13+X19+X25+X31+X37+X43+X49+X73</f>
        <v>66585</v>
      </c>
      <c r="Z78">
        <f>+Z67+Z61+Z55+Z7+Z13+Z19+Z25+Z31+Z37+Z43+Z49+Z72</f>
        <v>10273</v>
      </c>
      <c r="AC78">
        <f t="shared" si="31"/>
        <v>46508</v>
      </c>
      <c r="AD78" s="86">
        <f>+AD67+AD61+AD55+AD7+AD13+AD19+AD25+AD31+AD37+AD43+AD49+AD73</f>
        <v>108548</v>
      </c>
      <c r="AE78">
        <f t="shared" si="31"/>
        <v>2975</v>
      </c>
      <c r="AG78">
        <f t="shared" si="31"/>
        <v>70990</v>
      </c>
      <c r="AI78">
        <f>+AI67+AI61+AI55+AI7+AI13+AI19+AI25+AI31+AI37+AI43+AI49+AI72</f>
        <v>12473</v>
      </c>
      <c r="AJ78">
        <f>+AJ67+AJ61+AJ55+AJ7+AJ13+AJ19+AJ25+AJ31+AJ37+AJ43+AJ49+AJ72</f>
        <v>56871</v>
      </c>
      <c r="AK78">
        <f>+AK67+AK61+AK55+AK7+AK13+AK19+AK25+AK31+AK37+AK43+AK49+AK73</f>
        <v>6651</v>
      </c>
      <c r="AL78" s="81">
        <f t="shared" ref="AL78:AR78" si="33">+AL77/AL76</f>
        <v>0.57368702804821647</v>
      </c>
      <c r="AM78" s="81">
        <f t="shared" si="33"/>
        <v>0.54259971381296901</v>
      </c>
      <c r="AN78" s="81">
        <f t="shared" si="33"/>
        <v>0.61662428601248653</v>
      </c>
      <c r="AO78" s="81">
        <f t="shared" si="33"/>
        <v>0.64914955529890828</v>
      </c>
      <c r="AP78" s="81">
        <f t="shared" si="33"/>
        <v>0.68743122432103343</v>
      </c>
      <c r="AQ78" s="81">
        <f t="shared" si="33"/>
        <v>0.55498326130482201</v>
      </c>
      <c r="AR78" s="81">
        <f t="shared" si="33"/>
        <v>0.55200477905774104</v>
      </c>
      <c r="AS78" s="38"/>
    </row>
    <row r="79" spans="1:46" x14ac:dyDescent="0.2">
      <c r="C79">
        <f>+C78/C77</f>
        <v>0.60269461077844311</v>
      </c>
      <c r="F79">
        <f>+F78/F77</f>
        <v>0.72032994781437631</v>
      </c>
      <c r="G79">
        <f>+G78/G77</f>
        <v>0.87108136667840785</v>
      </c>
      <c r="H79">
        <f>+H78/H77</f>
        <v>0.59796067006554987</v>
      </c>
      <c r="I79">
        <f>+I78/I77</f>
        <v>0.57517752392713806</v>
      </c>
      <c r="O79">
        <f>+O78/O77</f>
        <v>0.54396615158204564</v>
      </c>
      <c r="P79">
        <f>+P78/P77</f>
        <v>0.6401026518391788</v>
      </c>
      <c r="R79">
        <f>+R78/R77</f>
        <v>0.87169886250815531</v>
      </c>
      <c r="S79">
        <f>+S78/S77</f>
        <v>6.5032444124008645E-2</v>
      </c>
      <c r="T79">
        <f>+T78/T77</f>
        <v>0.62901974822504625</v>
      </c>
      <c r="U79">
        <f>+U78/U77</f>
        <v>0.42078592343998611</v>
      </c>
      <c r="X79">
        <f>+X78/X77</f>
        <v>0.39315658951346244</v>
      </c>
      <c r="Z79">
        <f>+Z78/Z77</f>
        <v>0.89175347222222223</v>
      </c>
      <c r="AC79">
        <f>+AC78/AC77</f>
        <v>0.77358616101131072</v>
      </c>
      <c r="AD79">
        <f>+AD78/AD77</f>
        <v>0.79044602221008553</v>
      </c>
      <c r="AE79">
        <f>+AE78/AE77</f>
        <v>0.68516812528788573</v>
      </c>
      <c r="AG79">
        <f>+AG78/AG77</f>
        <v>0.88558169706344647</v>
      </c>
      <c r="AI79">
        <f>+AI78/AI77</f>
        <v>0.73879049931884144</v>
      </c>
      <c r="AJ79">
        <f>+AJ78/AJ77</f>
        <v>0.94788159605320177</v>
      </c>
      <c r="AK79">
        <f>+AK78/AK77</f>
        <v>0.64347910216718263</v>
      </c>
    </row>
    <row r="83" spans="4:38" x14ac:dyDescent="0.2">
      <c r="F83" s="86">
        <f>+F7+F13+F19+F25+F31+F37+F43+F49+F55+Sheet2014!F61+Sheet2014!F67+Sheet2014!F73</f>
        <v>24837.200000000001</v>
      </c>
      <c r="I83" s="86">
        <f>+I7+I13+I19+I25+I31+I37+I43+I49+I55+Sheet2014!I61+Sheet2014!I67+Sheet2014!I73</f>
        <v>15244</v>
      </c>
      <c r="K83" s="86">
        <f>+K7+K13+K19+K25+K31+K37+K43+K49+K55+Sheet2014!K61+Sheet2014!K67+Sheet2014!K73</f>
        <v>20401</v>
      </c>
      <c r="O83" s="86">
        <f>+O7+O13+O19+O25+O31+O37+O43+O49+O55+Sheet2014!O61+Sheet2014!O67+Sheet2014!O73</f>
        <v>12052</v>
      </c>
      <c r="R83" s="86">
        <f>+R7+R13+R19+R25+R31+R37+R43+R49+R55+Sheet2014!R61+Sheet2014!R67+Sheet2014!R73</f>
        <v>31053</v>
      </c>
      <c r="Z83" s="86">
        <f>+Z7+Z13+Z19+Z25+Z31+Z37+Z43+Z49+Z55+Sheet2014!Z61+Sheet2014!Z67+Sheet2014!Z73</f>
        <v>9591</v>
      </c>
      <c r="AC83" s="86">
        <f>+AC7+AC13+AC19+AC25+AC31+AC37+AC43+AC49+AC55+Sheet2014!AC61+Sheet2014!AC67+Sheet2014!AC73</f>
        <v>43475</v>
      </c>
      <c r="AD83" s="86">
        <f>+AD7+AD13+AD19+AD25+AD31+AD37+AD43+AD49+AD55+Sheet2014!AD61+Sheet2014!AD67+Sheet2014!AD73</f>
        <v>112247</v>
      </c>
      <c r="AG83" s="86">
        <f>+AG7+AG13+AG19+AG25+AG31+AG37+AG43+AG49+AG55+Sheet2014!AG61+Sheet2014!AG67+Sheet2014!AG73</f>
        <v>56600</v>
      </c>
      <c r="AH83" s="86">
        <f>+AH7+AH13+AH19+AH25+AH31+AH37+AH43+AH49+AH55+Sheet2014!AH61+Sheet2014!AH67+Sheet2014!AH73</f>
        <v>13403</v>
      </c>
      <c r="AJ83" s="86">
        <f>+AJ7+AJ13+AJ19+AJ25+AJ31+AJ37+AJ43+AJ49+AJ55+Sheet2014!AJ61+Sheet2014!AJ67+Sheet2014!AJ73</f>
        <v>44188</v>
      </c>
      <c r="AL83">
        <f>+R77+AC77+AD77+AG77+AJ77</f>
        <v>372858</v>
      </c>
    </row>
    <row r="84" spans="4:38" x14ac:dyDescent="0.2">
      <c r="AL84">
        <f>+AL83/AL76</f>
        <v>0.34631438745883047</v>
      </c>
    </row>
    <row r="85" spans="4:38" x14ac:dyDescent="0.2">
      <c r="D85" t="s">
        <v>15</v>
      </c>
    </row>
  </sheetData>
  <pageMargins left="0.74803149606299213" right="0.4" top="0.53" bottom="0.47" header="0.51181102362204722" footer="0.51181102362204722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Sheet2007</vt:lpstr>
      <vt:lpstr>Sheet2008</vt:lpstr>
      <vt:lpstr>Sheet2009</vt:lpstr>
      <vt:lpstr>Sheet2010</vt:lpstr>
      <vt:lpstr>Sheet2011</vt:lpstr>
      <vt:lpstr>Sheet2012</vt:lpstr>
      <vt:lpstr>Sheet2013</vt:lpstr>
      <vt:lpstr>Sheet2014</vt:lpstr>
      <vt:lpstr>Sheet2015</vt:lpstr>
      <vt:lpstr>Sheet2016</vt:lpstr>
      <vt:lpstr>2016-2007 </vt:lpstr>
      <vt:lpstr>Past </vt:lpstr>
      <vt:lpstr>Sheet2</vt:lpstr>
      <vt:lpstr>Sheet1</vt:lpstr>
      <vt:lpstr>Sheet3</vt:lpstr>
      <vt:lpstr>'2016-2007 '!Print_Area</vt:lpstr>
      <vt:lpstr>Sheet2013!Print_Area</vt:lpstr>
      <vt:lpstr>Sheet2014!Print_Area</vt:lpstr>
      <vt:lpstr>Sheet2015!Print_Area</vt:lpstr>
      <vt:lpstr>Sheet2016!Print_Area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Forrester</dc:creator>
  <cp:lastModifiedBy>Forrester Neil</cp:lastModifiedBy>
  <cp:lastPrinted>2016-08-08T14:25:12Z</cp:lastPrinted>
  <dcterms:created xsi:type="dcterms:W3CDTF">2006-12-28T13:55:42Z</dcterms:created>
  <dcterms:modified xsi:type="dcterms:W3CDTF">2016-08-08T19:31:47Z</dcterms:modified>
</cp:coreProperties>
</file>